
<file path=[Content_Types].xml><?xml version="1.0" encoding="utf-8"?>
<Types xmlns="http://schemas.openxmlformats.org/package/2006/content-types">
  <Default Extension="bin" ContentType="application/vnd.openxmlformats-officedocument.oleObject"/>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drawings/drawing2.xml" ContentType="application/vnd.openxmlformats-officedocument.drawing+xml"/>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drawings/drawing3.xml" ContentType="application/vnd.openxmlformats-officedocument.drawing+xml"/>
  <Override PartName="/xl/comments1.xml" ContentType="application/vnd.openxmlformats-officedocument.spreadsheetml.comments+xml"/>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drawings/drawing5.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printerSettings/printerSettings13.bin" ContentType="application/vnd.openxmlformats-officedocument.spreadsheetml.printerSettings"/>
  <Override PartName="/xl/printerSettings/printerSettings14.bin" ContentType="application/vnd.openxmlformats-officedocument.spreadsheetml.printerSettings"/>
  <Override PartName="/xl/printerSettings/printerSettings15.bin" ContentType="application/vnd.openxmlformats-officedocument.spreadsheetml.printerSettings"/>
  <Override PartName="/xl/drawings/drawing6.xml" ContentType="application/vnd.openxmlformats-officedocument.drawing+xml"/>
  <Override PartName="/xl/comments3.xml" ContentType="application/vnd.openxmlformats-officedocument.spreadsheetml.comments+xml"/>
  <Override PartName="/xl/printerSettings/printerSettings16.bin" ContentType="application/vnd.openxmlformats-officedocument.spreadsheetml.printerSettings"/>
  <Override PartName="/xl/printerSettings/printerSettings17.bin" ContentType="application/vnd.openxmlformats-officedocument.spreadsheetml.printerSettings"/>
  <Override PartName="/xl/printerSettings/printerSettings18.bin" ContentType="application/vnd.openxmlformats-officedocument.spreadsheetml.printerSettings"/>
  <Override PartName="/xl/drawings/drawing7.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printerSettings/printerSettings19.bin" ContentType="application/vnd.openxmlformats-officedocument.spreadsheetml.printerSettings"/>
  <Override PartName="/xl/printerSettings/printerSettings20.bin" ContentType="application/vnd.openxmlformats-officedocument.spreadsheetml.printerSettings"/>
  <Override PartName="/xl/printerSettings/printerSettings21.bin" ContentType="application/vnd.openxmlformats-officedocument.spreadsheetml.printerSettings"/>
  <Override PartName="/xl/drawings/drawing9.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printerSettings/printerSettings22.bin" ContentType="application/vnd.openxmlformats-officedocument.spreadsheetml.printerSettings"/>
  <Override PartName="/xl/printerSettings/printerSettings23.bin" ContentType="application/vnd.openxmlformats-officedocument.spreadsheetml.printerSettings"/>
  <Override PartName="/xl/printerSettings/printerSettings24.bin" ContentType="application/vnd.openxmlformats-officedocument.spreadsheetml.printerSettings"/>
  <Override PartName="/xl/drawings/drawing10.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omments4.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printerSettings/printerSettings25.bin" ContentType="application/vnd.openxmlformats-officedocument.spreadsheetml.printerSettings"/>
  <Override PartName="/xl/printerSettings/printerSettings26.bin" ContentType="application/vnd.openxmlformats-officedocument.spreadsheetml.printerSettings"/>
  <Override PartName="/xl/printerSettings/printerSettings27.bin" ContentType="application/vnd.openxmlformats-officedocument.spreadsheetml.printerSettings"/>
  <Override PartName="/xl/printerSettings/printerSettings28.bin" ContentType="application/vnd.openxmlformats-officedocument.spreadsheetml.printerSettings"/>
  <Override PartName="/xl/printerSettings/printerSettings29.bin" ContentType="application/vnd.openxmlformats-officedocument.spreadsheetml.printerSettings"/>
  <Override PartName="/xl/printerSettings/printerSettings30.bin" ContentType="application/vnd.openxmlformats-officedocument.spreadsheetml.printerSettings"/>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L:\VLGW\Referat12\Gerster\4_Lehrgänge_Vorträge_Artikel_eigen\ÜA\Fütterung\UniRat\Homepage\"/>
    </mc:Choice>
  </mc:AlternateContent>
  <xr:revisionPtr revIDLastSave="0" documentId="8_{E2BA577F-5FD5-4015-A7F8-C1EED9B544AA}" xr6:coauthVersionLast="47" xr6:coauthVersionMax="47" xr10:uidLastSave="{00000000-0000-0000-0000-000000000000}"/>
  <bookViews>
    <workbookView xWindow="28680" yWindow="-120" windowWidth="29040" windowHeight="15720" tabRatio="918" activeTab="4" xr2:uid="{00000000-000D-0000-FFFF-FFFF00000000}"/>
  </bookViews>
  <sheets>
    <sheet name=" " sheetId="1" r:id="rId1"/>
    <sheet name="Anleitung" sheetId="2" r:id="rId2"/>
    <sheet name="Futterwerte" sheetId="3" r:id="rId3"/>
    <sheet name="Eigenmischungen" sheetId="4" r:id="rId4"/>
    <sheet name="Ration Milch" sheetId="5" r:id="rId5"/>
    <sheet name="Ration Milch-Mineralstoffe" sheetId="6" r:id="rId6"/>
    <sheet name="Zuteilung-Milchleistungsfutter" sheetId="7" r:id="rId7"/>
    <sheet name="Modul1" sheetId="8" state="veryHidden" r:id="rId8"/>
    <sheet name="TMR-Mischplan" sheetId="9" r:id="rId9"/>
    <sheet name="Ration Aufzucht-Mast" sheetId="10" r:id="rId10"/>
    <sheet name="Info" sheetId="11" state="hidden" r:id="rId11"/>
    <sheet name="Einstellungen" sheetId="12" r:id="rId12"/>
  </sheets>
  <externalReferences>
    <externalReference r:id="rId13"/>
  </externalReferences>
  <definedNames>
    <definedName name="_xlnm._FilterDatabase" localSheetId="2" hidden="1">Futterwerte!$A$3:$AJ$289</definedName>
    <definedName name="ADFmin">Einstellungen!$E$12</definedName>
    <definedName name="AF_TS1">'Zuteilung-Milchleistungsfutter'!$J$19</definedName>
    <definedName name="aNDFomGF">'Ration Milch'!$AF$40</definedName>
    <definedName name="aNDFomGF_min">Einstellungen!$E$14</definedName>
    <definedName name="Art">'Ration Milch'!$C$3</definedName>
    <definedName name="Camax">Einstellungen!$F$20</definedName>
    <definedName name="Camin">Einstellungen!$E$20</definedName>
    <definedName name="CaPmax">Einstellungen!$F$26</definedName>
    <definedName name="CaPmin">Einstellungen!$E$26</definedName>
    <definedName name="DCAB_lakt_max">Einstellungen!$F$28</definedName>
    <definedName name="DCAB_lakt_min">Einstellungen!$E$28</definedName>
    <definedName name="DCAB_t_max">Einstellungen!$F$29</definedName>
    <definedName name="_xlnm.Print_Area" localSheetId="3">Eigenmischungen!$A$1:$AM$55</definedName>
    <definedName name="_xlnm.Print_Area" localSheetId="2">Futterwerte!$A$1:$AA$289</definedName>
    <definedName name="_xlnm.Print_Area" localSheetId="9">'Ration Aufzucht-Mast'!$A$1:$AH$31</definedName>
    <definedName name="_xlnm.Print_Area" localSheetId="4">'Ration Milch'!$A$1:$AN$51</definedName>
    <definedName name="_xlnm.Print_Area" localSheetId="5">'Ration Milch-Mineralstoffe'!$A$1:$V$42</definedName>
    <definedName name="_xlnm.Print_Area" localSheetId="8">'TMR-Mischplan'!$AN$1:$BJ$40</definedName>
    <definedName name="_xlnm.Print_Area" localSheetId="6">'Zuteilung-Milchleistungsfutter'!$A$1:$AG$50</definedName>
    <definedName name="_xlnm.Print_Titles" localSheetId="2">Futterwerte!$1:$7</definedName>
    <definedName name="_xlnm.Print_Titles" localSheetId="4">'Ration Milch'!$1:$2</definedName>
    <definedName name="E_vH">'Ration Milch'!$M$11</definedName>
    <definedName name="ECM">'Ration Milch'!$Y$15</definedName>
    <definedName name="EM" localSheetId="5">'Ration Milch-Mineralstoffe'!$N$10</definedName>
    <definedName name="EM">'Ration Milch'!$Y$13</definedName>
    <definedName name="F_vH">'Ration Milch'!$L$11</definedName>
    <definedName name="FS" localSheetId="5">'Ration Milch-Mineralstoffe'!$A$37</definedName>
    <definedName name="FS">'Ration Milch'!$B$40</definedName>
    <definedName name="Futter">[1]Erfassung!$B$13:$Y$10018</definedName>
    <definedName name="GF_NEL">'Ration Milch'!$Y$26</definedName>
    <definedName name="GR_ADF">'Ration Milch'!$AE$34</definedName>
    <definedName name="GR_aNDFomGF">'Ration Milch'!$AF$34</definedName>
    <definedName name="GR_Ca">'Ration Milch-Mineralstoffe'!$N$31</definedName>
    <definedName name="GR_K">'Ration Milch-Mineralstoffe'!$R$31</definedName>
    <definedName name="GR_Mg">'Ration Milch-Mineralstoffe'!$Q$31</definedName>
    <definedName name="GR_Na">'Ration Milch-Mineralstoffe'!$P$31</definedName>
    <definedName name="GR_NDF">'Ration Milch'!$AE$34</definedName>
    <definedName name="GR_NEL">'Ration Milch'!$Y$34</definedName>
    <definedName name="GR_NFC">'Ration Milch'!$AG$34</definedName>
    <definedName name="GR_nXP">'Ration Milch'!$AA$34</definedName>
    <definedName name="GR_P">'Ration Milch-Mineralstoffe'!$O$31</definedName>
    <definedName name="GR_pabXS_XZ">'Ration Milch'!$AD$34</definedName>
    <definedName name="GR_RNB">'Ration Milch'!$AB$34</definedName>
    <definedName name="GR_Se">'Ration Milch-Mineralstoffe'!$S$31</definedName>
    <definedName name="GR_SW">'Ration Milch'!$AD$34</definedName>
    <definedName name="GR_sXF">'Ration Milch'!$AK$34</definedName>
    <definedName name="GR_XF">'Ration Milch'!$AJ$34</definedName>
    <definedName name="GR_XL">'Ration Milch'!$AI$34</definedName>
    <definedName name="GR_XS">'Ration Milch'!$AG$34</definedName>
    <definedName name="GR_XZ">'Ration Milch'!$AH$34</definedName>
    <definedName name="ITmax">Einstellungen!$F$3</definedName>
    <definedName name="ITmin">Einstellungen!$E$3</definedName>
    <definedName name="Kalbung" localSheetId="5">'Ration Milch-Mineralstoffe'!$E$6</definedName>
    <definedName name="Kalbung">'Ration Milch'!$I$13</definedName>
    <definedName name="Kmax">Einstellungen!$F$24</definedName>
    <definedName name="Kmin">Einstellungen!$E$24</definedName>
    <definedName name="Kosten_TM">'Ration Milch'!$AL$41</definedName>
    <definedName name="LakNr" localSheetId="5">'Ration Milch-Mineralstoffe'!$D$6</definedName>
    <definedName name="LakNr">'Ration Milch'!$H$11</definedName>
    <definedName name="LaktTag">'Ration Milch'!$I$11</definedName>
    <definedName name="LG" localSheetId="5">'Ration Milch-Mineralstoffe'!$F$6</definedName>
    <definedName name="LG">'Ration Milch'!$J$11</definedName>
    <definedName name="M_kg">'Ration Milch'!$K$11</definedName>
    <definedName name="Mast_Aufzucht">'Ration Aufzucht-Mast'!$G$4</definedName>
    <definedName name="Mast_Eingabe">'Ration Aufzucht-Mast'!$B$4</definedName>
    <definedName name="Mast_GF_ME1">'Ration Aufzucht-Mast'!$V$16</definedName>
    <definedName name="Mast_GF_NEL1">'Ration Aufzucht-Mast'!$V$16</definedName>
    <definedName name="Mast_GF_nXP1">'Ration Aufzucht-Mast'!$W$16</definedName>
    <definedName name="Mast_GF_TM1">'Ration Aufzucht-Mast'!$U$15</definedName>
    <definedName name="Mast_KF_ME1">'Ration Aufzucht-Mast'!$V$21</definedName>
    <definedName name="Mast_KF_NEL1">'Ration Aufzucht-Mast'!$V$21</definedName>
    <definedName name="Mast_KF_nXP1">'Ration Aufzucht-Mast'!$W$21</definedName>
    <definedName name="Mast_KF_TM1">'Ration Aufzucht-Mast'!$U$21</definedName>
    <definedName name="Mast_LM">'Ration Aufzucht-Mast'!$U$3</definedName>
    <definedName name="Mast_LMZ">'Ration Aufzucht-Mast'!$U$4</definedName>
    <definedName name="Mast_Rasse">'Ration Aufzucht-Mast'!$K$4</definedName>
    <definedName name="Memax">Einstellungen!$F$5</definedName>
    <definedName name="MEmin">Einstellungen!$E$5</definedName>
    <definedName name="Mgmax">Einstellungen!$F$23</definedName>
    <definedName name="Mgmin">Einstellungen!$E$23</definedName>
    <definedName name="MJ_GF">'Ration Milch'!$Y$25</definedName>
    <definedName name="MLF_AF_Art1">'Zuteilung-Milchleistungsfutter'!$AF$6</definedName>
    <definedName name="MLF_AF_max1">'Zuteilung-Milchleistungsfutter'!$AF$10</definedName>
    <definedName name="MLF_AF_Milch1">'Zuteilung-Milchleistungsfutter'!$AF$8</definedName>
    <definedName name="MLF_AF_NEL1">'Zuteilung-Milchleistungsfutter'!$J$17</definedName>
    <definedName name="MLF_AF_TS1">'Zuteilung-Milchleistungsfutter'!$J$19</definedName>
    <definedName name="MLF_Art_1">'Zuteilung-Milchleistungsfutter'!$AF$4</definedName>
    <definedName name="MLF_Fett1">'Zuteilung-Milchleistungsfutter'!$J$12</definedName>
    <definedName name="MLF_GF_NEL1">'Zuteilung-Milchleistungsfutter'!$J$18</definedName>
    <definedName name="MLF_GF_NFC1">'Zuteilung-Milchleistungsfutter'!$L$18</definedName>
    <definedName name="MLF_GF_RNB1">'Zuteilung-Milchleistungsfutter'!$AF$3</definedName>
    <definedName name="MLF_GFNEL1">'Zuteilung-Milchleistungsfutter'!$J$18</definedName>
    <definedName name="MLF_ITkorr1">'Zuteilung-Milchleistungsfutter'!$AF$18</definedName>
    <definedName name="MLF_KF_NEL1">'Zuteilung-Milchleistungsfutter'!$AF$2</definedName>
    <definedName name="MLF_Kf_TS1">'Zuteilung-Milchleistungsfutter'!$AF$11</definedName>
    <definedName name="MLF_KFabr_max">'Zuteilung-Milchleistungsfutter'!$AF$15</definedName>
    <definedName name="MLF_KFmax1">'Zuteilung-Milchleistungsfutter'!$AF$16</definedName>
    <definedName name="MLF_KFmin1">'Zuteilung-Milchleistungsfutter'!$AF$14</definedName>
    <definedName name="MLF_LakNr">'Zuteilung-Milchleistungsfutter'!$J$8</definedName>
    <definedName name="MLF_LakNr1">'Zuteilung-Milchleistungsfutter'!$J$8</definedName>
    <definedName name="MLF_LakTag1">'Zuteilung-Milchleistungsfutter'!$J$6</definedName>
    <definedName name="MLF_LM1">'Zuteilung-Milchleistungsfutter'!$J$10</definedName>
    <definedName name="MLF_NFCmax1">'Zuteilung-Milchleistungsfutter'!$AF$12</definedName>
    <definedName name="MLF_Prot1">'Zuteilung-Milchleistungsfutter'!$J$14</definedName>
    <definedName name="MLF_Rasse1">'Zuteilung-Milchleistungsfutter'!$J$4</definedName>
    <definedName name="NaKmax">Einstellungen!$F$27</definedName>
    <definedName name="NaKmin">Einstellungen!$E$27</definedName>
    <definedName name="Namax">Einstellungen!$F$22</definedName>
    <definedName name="Namin">Einstellungen!$E$22</definedName>
    <definedName name="NDFmin">Einstellungen!$E$13</definedName>
    <definedName name="NEL">'Ration Milch'!$Y$40</definedName>
    <definedName name="NEL_kg">'Ration Milch'!$Y$41</definedName>
    <definedName name="NELmax">Einstellungen!$F$4</definedName>
    <definedName name="NELmin">Einstellungen!$E$4</definedName>
    <definedName name="NFCmax">Einstellungen!$F$10</definedName>
    <definedName name="nXP">'Ration Milch'!$AA$40</definedName>
    <definedName name="nXPmax">Einstellungen!$F$6</definedName>
    <definedName name="nXPmin">Einstellungen!$E$6</definedName>
    <definedName name="pab_max">Einstellungen!$F$18</definedName>
    <definedName name="pabXS_XZ">'Ration Milch'!$AD$40</definedName>
    <definedName name="Pmax">Einstellungen!$F$21</definedName>
    <definedName name="Pmin">Einstellungen!$E$21</definedName>
    <definedName name="Rasse">'Ration Milch'!$F$3</definedName>
    <definedName name="RNB_t_max">Einstellungen!$F$9</definedName>
    <definedName name="RNB_t_min">Einstellungen!$E$9</definedName>
    <definedName name="RNBmax">Einstellungen!$F$8</definedName>
    <definedName name="RNBmin">Einstellungen!$E$8</definedName>
    <definedName name="Semax">Einstellungen!$F$25</definedName>
    <definedName name="Semin">Einstellungen!$E$25</definedName>
    <definedName name="SI">'Ration Milch'!$AM$40</definedName>
    <definedName name="SImin">Einstellungen!$E$11</definedName>
    <definedName name="SWmin">Einstellungen!$E$11</definedName>
    <definedName name="sXFmin">Einstellungen!$E$18</definedName>
    <definedName name="Tabelle">Futterwerte!$A$9:$AC$291</definedName>
    <definedName name="Tabelle_1">Futterwerte!$B$9:$XFD$289</definedName>
    <definedName name="Tabelle_Konz">Futterwerte!$B$202:$AC$288</definedName>
    <definedName name="Tabelle_Kopf">Futterwerte!$A$3:$AC$7</definedName>
    <definedName name="Tiere">'Ration Milch'!$F$9</definedName>
    <definedName name="TM_FM">'Ration Milch'!$I$5</definedName>
    <definedName name="TM_GF">'Ration Milch'!$W$25</definedName>
    <definedName name="TM_Grundration">'Ration Milch'!$W$33</definedName>
    <definedName name="TMR">'Ration Milch'!$D$11</definedName>
    <definedName name="TS" localSheetId="5">'Ration Milch-Mineralstoffe'!$M$37</definedName>
    <definedName name="TS">'Ration Milch'!$W$40</definedName>
    <definedName name="XFmin">Einstellungen!$E$14</definedName>
    <definedName name="XLmax">Einstellungen!$F$17</definedName>
    <definedName name="XPmax">Einstellungen!$F$7</definedName>
    <definedName name="XPmin">Einstellungen!$E$7</definedName>
    <definedName name="XSmax">Einstellungen!$F$15</definedName>
    <definedName name="XZmax">Einstellungen!$F$16</definedName>
    <definedName name="Z_117F828A_4542_4D18_9CDB_B606529AAD66_.wvu.Cols" localSheetId="0" hidden="1">' '!$C:$XFD</definedName>
    <definedName name="Z_117F828A_4542_4D18_9CDB_B606529AAD66_.wvu.Cols" localSheetId="1" hidden="1">Anleitung!$H:$XFD</definedName>
    <definedName name="Z_117F828A_4542_4D18_9CDB_B606529AAD66_.wvu.Cols" localSheetId="3" hidden="1">Eigenmischungen!$D:$Z,Eigenmischungen!$AN:$XFD</definedName>
    <definedName name="Z_117F828A_4542_4D18_9CDB_B606529AAD66_.wvu.Cols" localSheetId="2" hidden="1">Futterwerte!$AD:$XFD</definedName>
    <definedName name="Z_117F828A_4542_4D18_9CDB_B606529AAD66_.wvu.Cols" localSheetId="9" hidden="1">'Ration Aufzucht-Mast'!$C:$C,'Ration Aufzucht-Mast'!$AI:$XFD</definedName>
    <definedName name="Z_117F828A_4542_4D18_9CDB_B606529AAD66_.wvu.Cols" localSheetId="4" hidden="1">'Ration Milch'!$C:$C,'Ration Milch'!$E:$E,'Ration Milch'!$O:$R,'Ration Milch'!$AG:$AK</definedName>
    <definedName name="Z_117F828A_4542_4D18_9CDB_B606529AAD66_.wvu.Cols" localSheetId="5" hidden="1">'Ration Milch-Mineralstoffe'!$B:$B,'Ration Milch-Mineralstoffe'!#REF!,'Ration Milch-Mineralstoffe'!$T:$T,'Ration Milch-Mineralstoffe'!$W:$XFD</definedName>
    <definedName name="Z_117F828A_4542_4D18_9CDB_B606529AAD66_.wvu.Cols" localSheetId="8" hidden="1">'TMR-Mischplan'!$E:$AB,'TMR-Mischplan'!$BK:$XFD</definedName>
    <definedName name="Z_117F828A_4542_4D18_9CDB_B606529AAD66_.wvu.Cols" localSheetId="6" hidden="1">'Zuteilung-Milchleistungsfutter'!$B:$E,'Zuteilung-Milchleistungsfutter'!$R:$U,'Zuteilung-Milchleistungsfutter'!$W:$AB,'Zuteilung-Milchleistungsfutter'!$AI:$XFD</definedName>
    <definedName name="Z_117F828A_4542_4D18_9CDB_B606529AAD66_.wvu.FilterData" localSheetId="2" hidden="1">Futterwerte!$A$3:$AJ$289</definedName>
    <definedName name="Z_117F828A_4542_4D18_9CDB_B606529AAD66_.wvu.PrintArea" localSheetId="3" hidden="1">Eigenmischungen!$A$1:$AM$55</definedName>
    <definedName name="Z_117F828A_4542_4D18_9CDB_B606529AAD66_.wvu.PrintArea" localSheetId="2" hidden="1">Futterwerte!$A$1:$AA$289</definedName>
    <definedName name="Z_117F828A_4542_4D18_9CDB_B606529AAD66_.wvu.PrintArea" localSheetId="9" hidden="1">'Ration Aufzucht-Mast'!$A$1:$AH$31</definedName>
    <definedName name="Z_117F828A_4542_4D18_9CDB_B606529AAD66_.wvu.PrintArea" localSheetId="4" hidden="1">'Ration Milch'!$A$1:$AN$51</definedName>
    <definedName name="Z_117F828A_4542_4D18_9CDB_B606529AAD66_.wvu.PrintArea" localSheetId="5" hidden="1">'Ration Milch-Mineralstoffe'!$A$1:$V$42</definedName>
    <definedName name="Z_117F828A_4542_4D18_9CDB_B606529AAD66_.wvu.PrintArea" localSheetId="8" hidden="1">'TMR-Mischplan'!$AN$1:$BJ$40</definedName>
    <definedName name="Z_117F828A_4542_4D18_9CDB_B606529AAD66_.wvu.PrintArea" localSheetId="6" hidden="1">'Zuteilung-Milchleistungsfutter'!$A$1:$AG$50</definedName>
    <definedName name="Z_117F828A_4542_4D18_9CDB_B606529AAD66_.wvu.PrintTitles" localSheetId="2" hidden="1">Futterwerte!$1:$7</definedName>
    <definedName name="Z_117F828A_4542_4D18_9CDB_B606529AAD66_.wvu.PrintTitles" localSheetId="4" hidden="1">'Ration Milch'!$1:$2</definedName>
    <definedName name="Z_117F828A_4542_4D18_9CDB_B606529AAD66_.wvu.Rows" localSheetId="0" hidden="1">' '!$27:$1048576,' '!$1:$1</definedName>
    <definedName name="Z_117F828A_4542_4D18_9CDB_B606529AAD66_.wvu.Rows" localSheetId="1" hidden="1">Anleitung!$23:$1048576</definedName>
    <definedName name="Z_117F828A_4542_4D18_9CDB_B606529AAD66_.wvu.Rows" localSheetId="3" hidden="1">Eigenmischungen!$56:$1048576</definedName>
    <definedName name="Z_117F828A_4542_4D18_9CDB_B606529AAD66_.wvu.Rows" localSheetId="2" hidden="1">Futterwerte!$294:$1048576,Futterwerte!$292:$293</definedName>
    <definedName name="Z_117F828A_4542_4D18_9CDB_B606529AAD66_.wvu.Rows" localSheetId="9" hidden="1">'Ration Aufzucht-Mast'!$183:$1048576,'Ration Aufzucht-Mast'!$21:$21,'Ration Aufzucht-Mast'!$30:$30,'Ration Aufzucht-Mast'!$32:$182</definedName>
    <definedName name="Z_117F828A_4542_4D18_9CDB_B606529AAD66_.wvu.Rows" localSheetId="4" hidden="1">'Ration Milch'!$64:$1048576,'Ration Milch'!$52:$60,'Ration Milch'!$63:$63</definedName>
    <definedName name="Z_117F828A_4542_4D18_9CDB_B606529AAD66_.wvu.Rows" localSheetId="5" hidden="1">'Ration Milch-Mineralstoffe'!$52:$1048576,'Ration Milch-Mineralstoffe'!$43:$51</definedName>
    <definedName name="Z_117F828A_4542_4D18_9CDB_B606529AAD66_.wvu.Rows" localSheetId="8" hidden="1">'TMR-Mischplan'!$60:$60</definedName>
    <definedName name="Z_117F828A_4542_4D18_9CDB_B606529AAD66_.wvu.Rows" localSheetId="6" hidden="1">'Zuteilung-Milchleistungsfutter'!$67:$1048576</definedName>
    <definedName name="Z_2DEE39A3_88C5_4D7F_AEB9_0B43FD431165_.wvu.Cols" localSheetId="0" hidden="1">' '!$C:$XFD</definedName>
    <definedName name="Z_2DEE39A3_88C5_4D7F_AEB9_0B43FD431165_.wvu.Cols" localSheetId="1" hidden="1">Anleitung!$H:$XFD</definedName>
    <definedName name="Z_2DEE39A3_88C5_4D7F_AEB9_0B43FD431165_.wvu.Cols" localSheetId="3" hidden="1">Eigenmischungen!$D:$AB,Eigenmischungen!$AN:$XFD</definedName>
    <definedName name="Z_2DEE39A3_88C5_4D7F_AEB9_0B43FD431165_.wvu.Cols" localSheetId="2" hidden="1">Futterwerte!$J:$J,Futterwerte!$S:$T,Futterwerte!$AD:$XFD</definedName>
    <definedName name="Z_2DEE39A3_88C5_4D7F_AEB9_0B43FD431165_.wvu.Cols" localSheetId="9" hidden="1">'Ration Aufzucht-Mast'!$C:$C,'Ration Aufzucht-Mast'!$S:$S,'Ration Aufzucht-Mast'!$AG:$AG,'Ration Aufzucht-Mast'!$AI:$XFD</definedName>
    <definedName name="Z_2DEE39A3_88C5_4D7F_AEB9_0B43FD431165_.wvu.Cols" localSheetId="4" hidden="1">'Ration Milch'!$C:$C,'Ration Milch'!$O:$U,'Ration Milch'!$X:$X,'Ration Milch'!$Z:$Z,'Ration Milch'!$AG:$AL</definedName>
    <definedName name="Z_2DEE39A3_88C5_4D7F_AEB9_0B43FD431165_.wvu.Cols" localSheetId="5" hidden="1">'Ration Milch-Mineralstoffe'!$B:$B,'Ration Milch-Mineralstoffe'!$W:$XFD</definedName>
    <definedName name="Z_2DEE39A3_88C5_4D7F_AEB9_0B43FD431165_.wvu.Cols" localSheetId="8" hidden="1">'TMR-Mischplan'!$BK:$XFD</definedName>
    <definedName name="Z_2DEE39A3_88C5_4D7F_AEB9_0B43FD431165_.wvu.Cols" localSheetId="6" hidden="1">'Zuteilung-Milchleistungsfutter'!$B:$E,'Zuteilung-Milchleistungsfutter'!$R:$U,'Zuteilung-Milchleistungsfutter'!$W:$AB,'Zuteilung-Milchleistungsfutter'!$AI:$XFD</definedName>
    <definedName name="Z_2DEE39A3_88C5_4D7F_AEB9_0B43FD431165_.wvu.FilterData" localSheetId="2" hidden="1">Futterwerte!$A$3:$AJ$289</definedName>
    <definedName name="Z_2DEE39A3_88C5_4D7F_AEB9_0B43FD431165_.wvu.PrintArea" localSheetId="3" hidden="1">Eigenmischungen!$A$1:$AM$55</definedName>
    <definedName name="Z_2DEE39A3_88C5_4D7F_AEB9_0B43FD431165_.wvu.PrintArea" localSheetId="2" hidden="1">Futterwerte!$A$1:$AA$289</definedName>
    <definedName name="Z_2DEE39A3_88C5_4D7F_AEB9_0B43FD431165_.wvu.PrintArea" localSheetId="9" hidden="1">'Ration Aufzucht-Mast'!$A$1:$AH$31</definedName>
    <definedName name="Z_2DEE39A3_88C5_4D7F_AEB9_0B43FD431165_.wvu.PrintArea" localSheetId="4" hidden="1">'Ration Milch'!$A$1:$AN$51</definedName>
    <definedName name="Z_2DEE39A3_88C5_4D7F_AEB9_0B43FD431165_.wvu.PrintArea" localSheetId="5" hidden="1">'Ration Milch-Mineralstoffe'!$A$1:$V$42</definedName>
    <definedName name="Z_2DEE39A3_88C5_4D7F_AEB9_0B43FD431165_.wvu.PrintArea" localSheetId="8" hidden="1">'TMR-Mischplan'!$AN$1:$BJ$40</definedName>
    <definedName name="Z_2DEE39A3_88C5_4D7F_AEB9_0B43FD431165_.wvu.PrintArea" localSheetId="6" hidden="1">'Zuteilung-Milchleistungsfutter'!$A$1:$AG$50</definedName>
    <definedName name="Z_2DEE39A3_88C5_4D7F_AEB9_0B43FD431165_.wvu.PrintTitles" localSheetId="2" hidden="1">Futterwerte!$1:$7</definedName>
    <definedName name="Z_2DEE39A3_88C5_4D7F_AEB9_0B43FD431165_.wvu.PrintTitles" localSheetId="4" hidden="1">'Ration Milch'!$1:$2</definedName>
    <definedName name="Z_2DEE39A3_88C5_4D7F_AEB9_0B43FD431165_.wvu.Rows" localSheetId="0" hidden="1">' '!$27:$1048576,' '!$1:$1</definedName>
    <definedName name="Z_2DEE39A3_88C5_4D7F_AEB9_0B43FD431165_.wvu.Rows" localSheetId="1" hidden="1">Anleitung!$23:$1048576,Anleitung!$10:$13,Anleitung!$18:$22</definedName>
    <definedName name="Z_2DEE39A3_88C5_4D7F_AEB9_0B43FD431165_.wvu.Rows" localSheetId="3" hidden="1">Eigenmischungen!$56:$1048576,Eigenmischungen!$1:$1,Eigenmischungen!$34:$34,Eigenmischungen!$43:$45,Eigenmischungen!$54:$54</definedName>
    <definedName name="Z_2DEE39A3_88C5_4D7F_AEB9_0B43FD431165_.wvu.Rows" localSheetId="11" hidden="1">Einstellungen!$12:$12</definedName>
    <definedName name="Z_2DEE39A3_88C5_4D7F_AEB9_0B43FD431165_.wvu.Rows" localSheetId="9" hidden="1">'Ration Aufzucht-Mast'!$183:$1048576,'Ration Aufzucht-Mast'!$21:$21,'Ration Aufzucht-Mast'!$30:$30,'Ration Aufzucht-Mast'!$32:$182</definedName>
    <definedName name="Z_2DEE39A3_88C5_4D7F_AEB9_0B43FD431165_.wvu.Rows" localSheetId="4" hidden="1">'Ration Milch'!$66:$1048576,'Ration Milch'!$52:$65</definedName>
    <definedName name="Z_2DEE39A3_88C5_4D7F_AEB9_0B43FD431165_.wvu.Rows" localSheetId="5" hidden="1">'Ration Milch-Mineralstoffe'!$53:$1048576,'Ration Milch-Mineralstoffe'!$43:$51</definedName>
    <definedName name="Z_2DEE39A3_88C5_4D7F_AEB9_0B43FD431165_.wvu.Rows" localSheetId="6" hidden="1">'Zuteilung-Milchleistungsfutter'!$67:$1048576</definedName>
  </definedNames>
  <calcPr calcId="191029"/>
  <customWorkbookViews>
    <customWorkbookView name="Gerster, Elisabeth (LAZBW) - Persönliche Ansicht" guid="{2DEE39A3-88C5-4D7F-AEB9-0B43FD431165}" mergeInterval="0" personalView="1" xWindow="-1" yWindow="-46" windowWidth="1922" windowHeight="1048" activeSheetId="5"/>
    <customWorkbookView name="Sekul, Wolfgang (LAZBW) - Persönliche Ansicht" guid="{117F828A-4542-4D18-9CDB-B606529AAD66}" mergeInterval="0" personalView="1" maximized="1" windowWidth="1916" windowHeight="868" tabRatio="93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7" i="4" l="1"/>
  <c r="R5" i="4"/>
  <c r="AA5" i="4"/>
  <c r="V32" i="5"/>
  <c r="AB20" i="4"/>
  <c r="AA20" i="4"/>
  <c r="Z20" i="4"/>
  <c r="Y20" i="4"/>
  <c r="X20" i="4"/>
  <c r="W20" i="4"/>
  <c r="V20" i="4"/>
  <c r="U20" i="4"/>
  <c r="T20" i="4"/>
  <c r="S20" i="4"/>
  <c r="R20" i="4"/>
  <c r="Q20" i="4"/>
  <c r="P20" i="4"/>
  <c r="O20" i="4"/>
  <c r="N20" i="4"/>
  <c r="M20" i="4"/>
  <c r="L20" i="4"/>
  <c r="K20" i="4"/>
  <c r="J20" i="4"/>
  <c r="I20" i="4"/>
  <c r="H20" i="4"/>
  <c r="G20" i="4"/>
  <c r="F20" i="4"/>
  <c r="E20" i="4"/>
  <c r="D20" i="4"/>
  <c r="AB19" i="4"/>
  <c r="AA19" i="4"/>
  <c r="Z19" i="4"/>
  <c r="Y19" i="4"/>
  <c r="X19" i="4"/>
  <c r="W19" i="4"/>
  <c r="V19" i="4"/>
  <c r="U19" i="4"/>
  <c r="T19" i="4"/>
  <c r="S19" i="4"/>
  <c r="R19" i="4"/>
  <c r="Q19" i="4"/>
  <c r="P19" i="4"/>
  <c r="O19" i="4"/>
  <c r="N19" i="4"/>
  <c r="M19" i="4"/>
  <c r="L19" i="4"/>
  <c r="K19" i="4"/>
  <c r="J19" i="4"/>
  <c r="I19" i="4"/>
  <c r="H19" i="4"/>
  <c r="G19" i="4"/>
  <c r="F19" i="4"/>
  <c r="E19" i="4"/>
  <c r="D19" i="4"/>
  <c r="AB18" i="4"/>
  <c r="AA18" i="4"/>
  <c r="Z18" i="4"/>
  <c r="Y18" i="4"/>
  <c r="X18" i="4"/>
  <c r="W18" i="4"/>
  <c r="V18" i="4"/>
  <c r="U18" i="4"/>
  <c r="T18" i="4"/>
  <c r="S18" i="4"/>
  <c r="R18" i="4"/>
  <c r="Q18" i="4"/>
  <c r="P18" i="4"/>
  <c r="O18" i="4"/>
  <c r="N18" i="4"/>
  <c r="M18" i="4"/>
  <c r="L18" i="4"/>
  <c r="K18" i="4"/>
  <c r="J18" i="4"/>
  <c r="I18" i="4"/>
  <c r="H18" i="4"/>
  <c r="G18" i="4"/>
  <c r="F18" i="4"/>
  <c r="E18" i="4"/>
  <c r="D18" i="4"/>
  <c r="AB17" i="4"/>
  <c r="AA17" i="4"/>
  <c r="Z17" i="4"/>
  <c r="Y17" i="4"/>
  <c r="X17" i="4"/>
  <c r="W17" i="4"/>
  <c r="V17" i="4"/>
  <c r="U17" i="4"/>
  <c r="T17" i="4"/>
  <c r="S17" i="4"/>
  <c r="R17" i="4"/>
  <c r="Q17" i="4"/>
  <c r="P17" i="4"/>
  <c r="O17" i="4"/>
  <c r="N17" i="4"/>
  <c r="M17" i="4"/>
  <c r="L17" i="4"/>
  <c r="K17" i="4"/>
  <c r="J17" i="4"/>
  <c r="I17" i="4"/>
  <c r="H17" i="4"/>
  <c r="G17" i="4"/>
  <c r="F17" i="4"/>
  <c r="E17" i="4"/>
  <c r="D17" i="4"/>
  <c r="AB16" i="4"/>
  <c r="AA16" i="4"/>
  <c r="Z16" i="4"/>
  <c r="Y16" i="4"/>
  <c r="X16" i="4"/>
  <c r="W16" i="4"/>
  <c r="V16" i="4"/>
  <c r="U16" i="4"/>
  <c r="T16" i="4"/>
  <c r="S16" i="4"/>
  <c r="R16" i="4"/>
  <c r="Q16" i="4"/>
  <c r="P16" i="4"/>
  <c r="O16" i="4"/>
  <c r="N16" i="4"/>
  <c r="M16" i="4"/>
  <c r="L16" i="4"/>
  <c r="K16" i="4"/>
  <c r="J16" i="4"/>
  <c r="I16" i="4"/>
  <c r="H16" i="4"/>
  <c r="G16" i="4"/>
  <c r="F16" i="4"/>
  <c r="E16" i="4"/>
  <c r="D16" i="4"/>
  <c r="AB15" i="4"/>
  <c r="AA15" i="4"/>
  <c r="Z15" i="4"/>
  <c r="Y15" i="4"/>
  <c r="X15" i="4"/>
  <c r="W15" i="4"/>
  <c r="V15" i="4"/>
  <c r="U15" i="4"/>
  <c r="T15" i="4"/>
  <c r="S15" i="4"/>
  <c r="R15" i="4"/>
  <c r="Q15" i="4"/>
  <c r="P15" i="4"/>
  <c r="O15" i="4"/>
  <c r="N15" i="4"/>
  <c r="M15" i="4"/>
  <c r="L15" i="4"/>
  <c r="K15" i="4"/>
  <c r="J15" i="4"/>
  <c r="I15" i="4"/>
  <c r="H15" i="4"/>
  <c r="G15" i="4"/>
  <c r="F15" i="4"/>
  <c r="E15" i="4"/>
  <c r="D15" i="4"/>
  <c r="AB14" i="4"/>
  <c r="AA14" i="4"/>
  <c r="Z14" i="4"/>
  <c r="Y14" i="4"/>
  <c r="X14" i="4"/>
  <c r="W14" i="4"/>
  <c r="V14" i="4"/>
  <c r="U14" i="4"/>
  <c r="T14" i="4"/>
  <c r="S14" i="4"/>
  <c r="R14" i="4"/>
  <c r="Q14" i="4"/>
  <c r="P14" i="4"/>
  <c r="O14" i="4"/>
  <c r="N14" i="4"/>
  <c r="M14" i="4"/>
  <c r="L14" i="4"/>
  <c r="K14" i="4"/>
  <c r="J14" i="4"/>
  <c r="I14" i="4"/>
  <c r="H14" i="4"/>
  <c r="G14" i="4"/>
  <c r="F14" i="4"/>
  <c r="E14" i="4"/>
  <c r="D14" i="4"/>
  <c r="AB13" i="4"/>
  <c r="AA13" i="4"/>
  <c r="Z13" i="4"/>
  <c r="Y13" i="4"/>
  <c r="X13" i="4"/>
  <c r="W13" i="4"/>
  <c r="V13" i="4"/>
  <c r="U13" i="4"/>
  <c r="T13" i="4"/>
  <c r="S13" i="4"/>
  <c r="R13" i="4"/>
  <c r="Q13" i="4"/>
  <c r="P13" i="4"/>
  <c r="O13" i="4"/>
  <c r="N13" i="4"/>
  <c r="M13" i="4"/>
  <c r="L13" i="4"/>
  <c r="K13" i="4"/>
  <c r="J13" i="4"/>
  <c r="I13" i="4"/>
  <c r="H13" i="4"/>
  <c r="G13" i="4"/>
  <c r="F13" i="4"/>
  <c r="E13" i="4"/>
  <c r="D13" i="4"/>
  <c r="AB12" i="4"/>
  <c r="AA12" i="4"/>
  <c r="Z12" i="4"/>
  <c r="Y12" i="4"/>
  <c r="X12" i="4"/>
  <c r="W12" i="4"/>
  <c r="V12" i="4"/>
  <c r="U12" i="4"/>
  <c r="T12" i="4"/>
  <c r="S12" i="4"/>
  <c r="R12" i="4"/>
  <c r="Q12" i="4"/>
  <c r="P12" i="4"/>
  <c r="O12" i="4"/>
  <c r="N12" i="4"/>
  <c r="M12" i="4"/>
  <c r="L12" i="4"/>
  <c r="K12" i="4"/>
  <c r="J12" i="4"/>
  <c r="I12" i="4"/>
  <c r="H12" i="4"/>
  <c r="G12" i="4"/>
  <c r="F12" i="4"/>
  <c r="E12" i="4"/>
  <c r="D12" i="4"/>
  <c r="AB11" i="4"/>
  <c r="AA11" i="4"/>
  <c r="Z11" i="4"/>
  <c r="Y11" i="4"/>
  <c r="X11" i="4"/>
  <c r="W11" i="4"/>
  <c r="V11" i="4"/>
  <c r="U11" i="4"/>
  <c r="T11" i="4"/>
  <c r="S11" i="4"/>
  <c r="R11" i="4"/>
  <c r="Q11" i="4"/>
  <c r="P11" i="4"/>
  <c r="O11" i="4"/>
  <c r="N11" i="4"/>
  <c r="M11" i="4"/>
  <c r="L11" i="4"/>
  <c r="K11" i="4"/>
  <c r="J11" i="4"/>
  <c r="I11" i="4"/>
  <c r="H11" i="4"/>
  <c r="G11" i="4"/>
  <c r="F11" i="4"/>
  <c r="E11" i="4"/>
  <c r="D11" i="4"/>
  <c r="AB10" i="4"/>
  <c r="AA10" i="4"/>
  <c r="Z10" i="4"/>
  <c r="Y10" i="4"/>
  <c r="X10" i="4"/>
  <c r="W10" i="4"/>
  <c r="V10" i="4"/>
  <c r="U10" i="4"/>
  <c r="T10" i="4"/>
  <c r="S10" i="4"/>
  <c r="R10" i="4"/>
  <c r="Q10" i="4"/>
  <c r="P10" i="4"/>
  <c r="O10" i="4"/>
  <c r="N10" i="4"/>
  <c r="M10" i="4"/>
  <c r="L10" i="4"/>
  <c r="K10" i="4"/>
  <c r="J10" i="4"/>
  <c r="I10" i="4"/>
  <c r="H10" i="4"/>
  <c r="G10" i="4"/>
  <c r="F10" i="4"/>
  <c r="E10" i="4"/>
  <c r="D10" i="4"/>
  <c r="AB9" i="4"/>
  <c r="AA9" i="4"/>
  <c r="Z9" i="4"/>
  <c r="Y9" i="4"/>
  <c r="X9" i="4"/>
  <c r="W9" i="4"/>
  <c r="V9" i="4"/>
  <c r="U9" i="4"/>
  <c r="T9" i="4"/>
  <c r="S9" i="4"/>
  <c r="R9" i="4"/>
  <c r="Q9" i="4"/>
  <c r="P9" i="4"/>
  <c r="O9" i="4"/>
  <c r="N9" i="4"/>
  <c r="M9" i="4"/>
  <c r="L9" i="4"/>
  <c r="K9" i="4"/>
  <c r="J9" i="4"/>
  <c r="I9" i="4"/>
  <c r="H9" i="4"/>
  <c r="G9" i="4"/>
  <c r="F9" i="4"/>
  <c r="E9" i="4"/>
  <c r="D9" i="4"/>
  <c r="AB8" i="4"/>
  <c r="AA8" i="4"/>
  <c r="Z8" i="4"/>
  <c r="Y8" i="4"/>
  <c r="X8" i="4"/>
  <c r="W8" i="4"/>
  <c r="V8" i="4"/>
  <c r="U8" i="4"/>
  <c r="T8" i="4"/>
  <c r="S8" i="4"/>
  <c r="R8" i="4"/>
  <c r="Q8" i="4"/>
  <c r="P8" i="4"/>
  <c r="O8" i="4"/>
  <c r="N8" i="4"/>
  <c r="M8" i="4"/>
  <c r="L8" i="4"/>
  <c r="K8" i="4"/>
  <c r="J8" i="4"/>
  <c r="I8" i="4"/>
  <c r="H8" i="4"/>
  <c r="G8" i="4"/>
  <c r="F8" i="4"/>
  <c r="E8" i="4"/>
  <c r="D8" i="4"/>
  <c r="AB7" i="4"/>
  <c r="AA7" i="4"/>
  <c r="Y7" i="4"/>
  <c r="X7" i="4"/>
  <c r="W7" i="4"/>
  <c r="V7" i="4"/>
  <c r="U7" i="4"/>
  <c r="T7" i="4"/>
  <c r="S7" i="4"/>
  <c r="R7" i="4"/>
  <c r="Q7" i="4"/>
  <c r="P7" i="4"/>
  <c r="O7" i="4"/>
  <c r="N7" i="4"/>
  <c r="M7" i="4"/>
  <c r="L7" i="4"/>
  <c r="K7" i="4"/>
  <c r="J7" i="4"/>
  <c r="I7" i="4"/>
  <c r="H7" i="4"/>
  <c r="G7" i="4"/>
  <c r="F7" i="4"/>
  <c r="E7" i="4"/>
  <c r="D7" i="4"/>
  <c r="AB6" i="4"/>
  <c r="AA6" i="4"/>
  <c r="Z6" i="4"/>
  <c r="Y6" i="4"/>
  <c r="X6" i="4"/>
  <c r="W6" i="4"/>
  <c r="V6" i="4"/>
  <c r="U6" i="4"/>
  <c r="T6" i="4"/>
  <c r="S6" i="4"/>
  <c r="R6" i="4"/>
  <c r="Q6" i="4"/>
  <c r="P6" i="4"/>
  <c r="O6" i="4"/>
  <c r="N6" i="4"/>
  <c r="M6" i="4"/>
  <c r="L6" i="4"/>
  <c r="K6" i="4"/>
  <c r="J6" i="4"/>
  <c r="I6" i="4"/>
  <c r="H6" i="4"/>
  <c r="G6" i="4"/>
  <c r="F6" i="4"/>
  <c r="E6" i="4"/>
  <c r="D6" i="4"/>
  <c r="AB5" i="4"/>
  <c r="Z5" i="4"/>
  <c r="Y5" i="4"/>
  <c r="X5" i="4"/>
  <c r="W5" i="4"/>
  <c r="V5" i="4"/>
  <c r="U5" i="4"/>
  <c r="T5" i="4"/>
  <c r="S5" i="4"/>
  <c r="Q5" i="4"/>
  <c r="P5" i="4"/>
  <c r="O5" i="4"/>
  <c r="N5" i="4"/>
  <c r="M5" i="4"/>
  <c r="L5" i="4"/>
  <c r="K5" i="4"/>
  <c r="J5" i="4"/>
  <c r="I5" i="4"/>
  <c r="H5" i="4"/>
  <c r="G5" i="4"/>
  <c r="F5" i="4"/>
  <c r="E5" i="4"/>
  <c r="D5" i="4"/>
  <c r="AB4" i="4"/>
  <c r="AA4" i="4"/>
  <c r="Z4" i="4"/>
  <c r="Y4" i="4"/>
  <c r="X4" i="4"/>
  <c r="W4" i="4"/>
  <c r="V4" i="4"/>
  <c r="U4" i="4"/>
  <c r="T4" i="4"/>
  <c r="S4" i="4"/>
  <c r="R4" i="4"/>
  <c r="Q4" i="4"/>
  <c r="P4" i="4"/>
  <c r="O4" i="4"/>
  <c r="N4" i="4"/>
  <c r="M4" i="4"/>
  <c r="L4" i="4"/>
  <c r="K4" i="4"/>
  <c r="J4" i="4"/>
  <c r="I4" i="4"/>
  <c r="H4" i="4"/>
  <c r="G4" i="4"/>
  <c r="F4" i="4"/>
  <c r="E4" i="4"/>
  <c r="D4" i="4"/>
  <c r="AB3" i="4"/>
  <c r="AA3" i="4"/>
  <c r="Z3" i="4"/>
  <c r="Y3" i="4"/>
  <c r="X3" i="4"/>
  <c r="W3" i="4"/>
  <c r="V3" i="4"/>
  <c r="U3" i="4"/>
  <c r="T3" i="4"/>
  <c r="S3" i="4"/>
  <c r="R3" i="4"/>
  <c r="Q3" i="4"/>
  <c r="P3" i="4"/>
  <c r="O3" i="4"/>
  <c r="N3" i="4"/>
  <c r="M3" i="4"/>
  <c r="L3" i="4"/>
  <c r="K3" i="4"/>
  <c r="J3" i="4"/>
  <c r="I3" i="4"/>
  <c r="H3" i="4"/>
  <c r="G3" i="4"/>
  <c r="F3" i="4"/>
  <c r="E3" i="4"/>
  <c r="D3" i="4"/>
  <c r="AC26" i="4" l="1"/>
  <c r="AC27" i="4"/>
  <c r="AF26" i="4"/>
  <c r="AD26" i="4"/>
  <c r="AK26" i="4"/>
  <c r="AE26" i="4"/>
  <c r="AG26" i="4"/>
  <c r="AH26" i="4"/>
  <c r="AI26" i="4"/>
  <c r="AJ26" i="4"/>
  <c r="AF16"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AQ1" i="9"/>
  <c r="S20" i="10"/>
  <c r="S19" i="10"/>
  <c r="S18" i="10"/>
  <c r="S14" i="10"/>
  <c r="S13" i="10"/>
  <c r="S12" i="10"/>
  <c r="S11" i="10"/>
  <c r="S10" i="10"/>
  <c r="L9" i="10"/>
  <c r="R20" i="10"/>
  <c r="R19" i="10"/>
  <c r="R18" i="10"/>
  <c r="R14" i="10"/>
  <c r="R13" i="10"/>
  <c r="R12" i="10"/>
  <c r="R11" i="10"/>
  <c r="R10" i="10"/>
  <c r="Q20" i="10"/>
  <c r="Q19" i="10"/>
  <c r="Q18" i="10"/>
  <c r="Q14" i="10"/>
  <c r="Q13" i="10"/>
  <c r="Q12" i="10"/>
  <c r="Q11" i="10"/>
  <c r="Q10" i="10"/>
  <c r="P20" i="10"/>
  <c r="P19" i="10"/>
  <c r="P18" i="10"/>
  <c r="P14" i="10"/>
  <c r="P13" i="10"/>
  <c r="P12" i="10"/>
  <c r="P11" i="10"/>
  <c r="P10" i="10"/>
  <c r="O20" i="10"/>
  <c r="O19" i="10"/>
  <c r="O18" i="10"/>
  <c r="O14" i="10"/>
  <c r="O13" i="10"/>
  <c r="O12" i="10"/>
  <c r="O11" i="10"/>
  <c r="O10" i="10"/>
  <c r="N20" i="10"/>
  <c r="N19" i="10"/>
  <c r="N18" i="10"/>
  <c r="N14" i="10"/>
  <c r="N13" i="10"/>
  <c r="N12" i="10"/>
  <c r="N11" i="10"/>
  <c r="N10" i="10"/>
  <c r="M20" i="10"/>
  <c r="M19" i="10"/>
  <c r="M18" i="10"/>
  <c r="M14" i="10"/>
  <c r="M13" i="10"/>
  <c r="M12" i="10"/>
  <c r="M11" i="10"/>
  <c r="M10" i="10"/>
  <c r="K20" i="10"/>
  <c r="K19" i="10"/>
  <c r="K18" i="10"/>
  <c r="L20" i="10"/>
  <c r="L19" i="10"/>
  <c r="L18" i="10"/>
  <c r="L14" i="10"/>
  <c r="K14" i="10"/>
  <c r="L13" i="10"/>
  <c r="K13" i="10"/>
  <c r="L12" i="10"/>
  <c r="K12" i="10"/>
  <c r="L11" i="10"/>
  <c r="K11" i="10"/>
  <c r="K10" i="10"/>
  <c r="L10" i="10"/>
  <c r="J20" i="10"/>
  <c r="J19" i="10"/>
  <c r="J18" i="10"/>
  <c r="J14" i="10"/>
  <c r="J13" i="10"/>
  <c r="J12" i="10"/>
  <c r="J11" i="10"/>
  <c r="J10" i="10"/>
  <c r="I20" i="10"/>
  <c r="I19" i="10"/>
  <c r="I18" i="10"/>
  <c r="I14" i="10"/>
  <c r="I13" i="10"/>
  <c r="I12" i="10"/>
  <c r="I11" i="10"/>
  <c r="I10" i="10"/>
  <c r="G20" i="10"/>
  <c r="G19" i="10"/>
  <c r="G18" i="10"/>
  <c r="H20" i="10"/>
  <c r="H19" i="10"/>
  <c r="H18" i="10"/>
  <c r="H14" i="10"/>
  <c r="H13" i="10"/>
  <c r="H12" i="10"/>
  <c r="H11" i="10"/>
  <c r="H10" i="10"/>
  <c r="G14" i="10"/>
  <c r="G13" i="10"/>
  <c r="G12" i="10"/>
  <c r="G11" i="10"/>
  <c r="D20" i="10"/>
  <c r="D19" i="10"/>
  <c r="D18" i="10"/>
  <c r="F20" i="10"/>
  <c r="F19" i="10"/>
  <c r="F18" i="10"/>
  <c r="F10" i="10"/>
  <c r="G20" i="5"/>
  <c r="F14" i="10"/>
  <c r="F13" i="10"/>
  <c r="F12" i="10"/>
  <c r="F11" i="10"/>
  <c r="D14" i="10"/>
  <c r="D13" i="10"/>
  <c r="D12" i="10"/>
  <c r="D11" i="10"/>
  <c r="D10" i="10"/>
  <c r="D20" i="5"/>
  <c r="G10" i="10"/>
  <c r="T10" i="10" s="1"/>
  <c r="F20" i="5"/>
  <c r="Q288" i="3"/>
  <c r="Q287" i="3"/>
  <c r="Q286" i="3"/>
  <c r="Q285" i="3"/>
  <c r="Q284" i="3"/>
  <c r="Q283" i="3"/>
  <c r="Q282" i="3"/>
  <c r="Q281" i="3"/>
  <c r="Q259" i="3"/>
  <c r="Q258" i="3"/>
  <c r="Q257" i="3"/>
  <c r="Q256" i="3"/>
  <c r="Q255" i="3"/>
  <c r="Q254" i="3"/>
  <c r="Q253" i="3"/>
  <c r="Q252" i="3"/>
  <c r="Q33" i="3"/>
  <c r="Q32" i="3"/>
  <c r="Q31" i="3"/>
  <c r="Q30" i="3"/>
  <c r="Q29" i="3"/>
  <c r="Q28" i="3"/>
  <c r="Q27" i="3"/>
  <c r="Q26" i="3"/>
  <c r="Q25" i="3"/>
  <c r="Q24" i="3"/>
  <c r="Q23" i="3"/>
  <c r="Q22" i="3"/>
  <c r="Q21" i="3"/>
  <c r="Q20" i="3"/>
  <c r="Q19" i="3"/>
  <c r="Q18" i="3"/>
  <c r="Q17" i="3"/>
  <c r="Q16" i="3"/>
  <c r="Q15" i="3"/>
  <c r="Q14" i="3"/>
  <c r="Q13" i="3"/>
  <c r="Q12" i="3"/>
  <c r="Q11" i="3"/>
  <c r="Q10" i="3"/>
  <c r="Q9" i="3"/>
  <c r="AA12" i="5"/>
  <c r="Y12" i="5"/>
  <c r="AF18" i="7"/>
  <c r="AO56" i="9"/>
  <c r="R4" i="9"/>
  <c r="Q4" i="9"/>
  <c r="I38" i="5" l="1"/>
  <c r="I31" i="5"/>
  <c r="I30" i="5"/>
  <c r="I28" i="5"/>
  <c r="I24" i="5"/>
  <c r="I23" i="5"/>
  <c r="I22" i="5"/>
  <c r="I21" i="5"/>
  <c r="I20" i="5"/>
  <c r="O18" i="5" l="1"/>
  <c r="P18" i="5"/>
  <c r="AG18" i="5" s="1"/>
  <c r="P20" i="5"/>
  <c r="P38" i="5"/>
  <c r="P31" i="5"/>
  <c r="P30" i="5"/>
  <c r="P28" i="5"/>
  <c r="P24" i="5"/>
  <c r="P23" i="5"/>
  <c r="P22" i="5"/>
  <c r="P21" i="5"/>
  <c r="Q263" i="3"/>
  <c r="Q260" i="3"/>
  <c r="L28" i="5" l="1"/>
  <c r="AF14" i="7"/>
  <c r="AJ11" i="5"/>
  <c r="AI11" i="5"/>
  <c r="AG11" i="5"/>
  <c r="T38" i="5"/>
  <c r="T22" i="5"/>
  <c r="T21" i="5"/>
  <c r="T20" i="5"/>
  <c r="S20" i="5"/>
  <c r="S38" i="5"/>
  <c r="S31" i="5"/>
  <c r="S30" i="5"/>
  <c r="S24" i="5"/>
  <c r="S23" i="5"/>
  <c r="S22" i="5"/>
  <c r="S21" i="5"/>
  <c r="R20" i="5"/>
  <c r="Q38" i="5"/>
  <c r="Q31" i="5"/>
  <c r="Q30" i="5"/>
  <c r="Q28" i="5"/>
  <c r="R28" i="5"/>
  <c r="R30" i="5"/>
  <c r="R31" i="5"/>
  <c r="R38" i="5"/>
  <c r="Q24" i="5"/>
  <c r="Q23" i="5"/>
  <c r="Q22" i="5"/>
  <c r="Q20" i="5"/>
  <c r="Q21" i="5"/>
  <c r="T18" i="5"/>
  <c r="AK18" i="5" s="1"/>
  <c r="L18" i="5"/>
  <c r="S18" i="5"/>
  <c r="AJ18" i="5" s="1"/>
  <c r="Q18" i="5"/>
  <c r="AB11" i="5"/>
  <c r="K18" i="5"/>
  <c r="F12" i="5"/>
  <c r="F11" i="5"/>
  <c r="F10" i="5"/>
  <c r="Q34" i="3" l="1"/>
  <c r="Q262" i="3" l="1"/>
  <c r="Q261" i="3"/>
  <c r="Q57" i="3"/>
  <c r="D2" i="4" l="1"/>
  <c r="Q279" i="3"/>
  <c r="M279" i="3"/>
  <c r="I279" i="3"/>
  <c r="U38" i="5"/>
  <c r="U32" i="5"/>
  <c r="U31" i="5"/>
  <c r="U30" i="5"/>
  <c r="U21" i="5"/>
  <c r="U22" i="5"/>
  <c r="U23" i="5"/>
  <c r="U24" i="5"/>
  <c r="U20" i="5"/>
  <c r="AK10" i="5"/>
  <c r="AK39" i="5" s="1"/>
  <c r="AL18" i="5"/>
  <c r="X32" i="5"/>
  <c r="Z32" i="5"/>
  <c r="AD15" i="5"/>
  <c r="N38" i="5"/>
  <c r="N31" i="5"/>
  <c r="N30" i="5"/>
  <c r="N21" i="5"/>
  <c r="N22" i="5"/>
  <c r="N24" i="5"/>
  <c r="N20" i="5"/>
  <c r="L38" i="5"/>
  <c r="K38" i="5"/>
  <c r="L31" i="5"/>
  <c r="L30" i="5"/>
  <c r="L21" i="5"/>
  <c r="L22" i="5"/>
  <c r="L23" i="5"/>
  <c r="L24" i="5"/>
  <c r="L20" i="5"/>
  <c r="H38" i="5"/>
  <c r="H31" i="5"/>
  <c r="H30" i="5"/>
  <c r="H21" i="5"/>
  <c r="H22" i="5"/>
  <c r="H23" i="5"/>
  <c r="H24" i="5"/>
  <c r="H20" i="5"/>
  <c r="G38" i="5"/>
  <c r="G37" i="5"/>
  <c r="G31" i="5"/>
  <c r="O31" i="5" s="1"/>
  <c r="G30" i="5"/>
  <c r="O30" i="5" s="1"/>
  <c r="G29" i="5"/>
  <c r="O29" i="5" s="1"/>
  <c r="G28" i="5"/>
  <c r="O28" i="5" s="1"/>
  <c r="G22" i="5"/>
  <c r="G23" i="5"/>
  <c r="G24" i="5"/>
  <c r="O24" i="5" s="1"/>
  <c r="G21" i="5"/>
  <c r="O22" i="5" l="1"/>
  <c r="O21" i="5"/>
  <c r="Z23" i="5"/>
  <c r="O23" i="5"/>
  <c r="O20" i="5"/>
  <c r="Z38" i="5"/>
  <c r="O38" i="5"/>
  <c r="Z37" i="5"/>
  <c r="O37" i="5"/>
  <c r="AD279" i="3"/>
  <c r="X37" i="5"/>
  <c r="X23" i="5"/>
  <c r="X38" i="5"/>
  <c r="AQ5" i="9"/>
  <c r="AS5" i="9"/>
  <c r="AT5" i="9"/>
  <c r="AU5" i="9"/>
  <c r="AV5" i="9"/>
  <c r="AW5" i="9"/>
  <c r="AX5" i="9"/>
  <c r="AQ9" i="9"/>
  <c r="AT9" i="9"/>
  <c r="AU9" i="9"/>
  <c r="AV9" i="9"/>
  <c r="AW9" i="9"/>
  <c r="AX9" i="9"/>
  <c r="AQ10" i="9"/>
  <c r="AT10" i="9"/>
  <c r="AU10" i="9"/>
  <c r="AV10" i="9"/>
  <c r="AW10" i="9"/>
  <c r="AX10" i="9"/>
  <c r="AQ12" i="9"/>
  <c r="AR12" i="9"/>
  <c r="AS12" i="9"/>
  <c r="AT12" i="9"/>
  <c r="AU12" i="9"/>
  <c r="AV12" i="9"/>
  <c r="AW12" i="9"/>
  <c r="AX12" i="9"/>
  <c r="AQ13" i="9"/>
  <c r="AR13" i="9"/>
  <c r="AS13" i="9"/>
  <c r="AT13" i="9"/>
  <c r="AU13" i="9"/>
  <c r="AV13" i="9"/>
  <c r="AW13" i="9"/>
  <c r="AX13" i="9"/>
  <c r="AQ14" i="9"/>
  <c r="AR14" i="9"/>
  <c r="AS14" i="9"/>
  <c r="AT14" i="9"/>
  <c r="AU14" i="9"/>
  <c r="AV14" i="9"/>
  <c r="AW14" i="9"/>
  <c r="AX14" i="9"/>
  <c r="AQ15" i="9"/>
  <c r="AR15" i="9"/>
  <c r="AS15" i="9"/>
  <c r="AT15" i="9"/>
  <c r="AU15" i="9"/>
  <c r="AV15" i="9"/>
  <c r="AW15" i="9"/>
  <c r="AX15" i="9"/>
  <c r="AQ16" i="9"/>
  <c r="AR16" i="9"/>
  <c r="AS16" i="9"/>
  <c r="AT16" i="9"/>
  <c r="AU16" i="9"/>
  <c r="AV16" i="9"/>
  <c r="AW16" i="9"/>
  <c r="AX16" i="9"/>
  <c r="AQ17" i="9"/>
  <c r="AT17" i="9"/>
  <c r="AU17" i="9"/>
  <c r="AV17" i="9"/>
  <c r="AW17" i="9"/>
  <c r="AX17" i="9"/>
  <c r="AQ18" i="9"/>
  <c r="AT18" i="9"/>
  <c r="AU18" i="9"/>
  <c r="AV18" i="9"/>
  <c r="AW18" i="9"/>
  <c r="AX18" i="9"/>
  <c r="AQ19" i="9"/>
  <c r="AR19" i="9"/>
  <c r="AS19" i="9"/>
  <c r="AT19" i="9"/>
  <c r="AU19" i="9"/>
  <c r="AV19" i="9"/>
  <c r="AW19" i="9"/>
  <c r="AX19" i="9"/>
  <c r="AQ20" i="9"/>
  <c r="AR20" i="9"/>
  <c r="AS20" i="9"/>
  <c r="AT20" i="9"/>
  <c r="AU20" i="9"/>
  <c r="AV20" i="9"/>
  <c r="AW20" i="9"/>
  <c r="AX20" i="9"/>
  <c r="AQ21" i="9"/>
  <c r="AT21" i="9"/>
  <c r="AU21" i="9"/>
  <c r="AV21" i="9"/>
  <c r="AW21" i="9"/>
  <c r="AX21" i="9"/>
  <c r="D5" i="9"/>
  <c r="D6" i="9"/>
  <c r="D7" i="9"/>
  <c r="D8" i="9"/>
  <c r="D9" i="9"/>
  <c r="D10" i="9"/>
  <c r="D11" i="9"/>
  <c r="O11" i="9" s="1"/>
  <c r="D12" i="9"/>
  <c r="D13" i="9"/>
  <c r="D14" i="9"/>
  <c r="D15" i="9"/>
  <c r="D16" i="9"/>
  <c r="D17" i="9"/>
  <c r="D18" i="9"/>
  <c r="O18" i="9" s="1"/>
  <c r="D19" i="9"/>
  <c r="D20" i="9"/>
  <c r="D21" i="9"/>
  <c r="D22" i="9"/>
  <c r="D23" i="9"/>
  <c r="D4" i="9"/>
  <c r="B22" i="9"/>
  <c r="B21" i="9"/>
  <c r="B20" i="9"/>
  <c r="B19" i="9"/>
  <c r="B18" i="9"/>
  <c r="B17" i="9"/>
  <c r="B16" i="9"/>
  <c r="B15" i="9"/>
  <c r="B14" i="9"/>
  <c r="B13" i="9"/>
  <c r="B12" i="9"/>
  <c r="B10" i="9"/>
  <c r="B8" i="9"/>
  <c r="B7" i="9"/>
  <c r="B6" i="9"/>
  <c r="B5" i="9"/>
  <c r="B4" i="9"/>
  <c r="AO4" i="9" s="1"/>
  <c r="AD24" i="9"/>
  <c r="AC21" i="9"/>
  <c r="AC20" i="9"/>
  <c r="AC19" i="9"/>
  <c r="AC18" i="9"/>
  <c r="AC17" i="9"/>
  <c r="AC16" i="9"/>
  <c r="AC15" i="9"/>
  <c r="AC14" i="9"/>
  <c r="AC13" i="9"/>
  <c r="AC12" i="9"/>
  <c r="AC10" i="9"/>
  <c r="AB22" i="9"/>
  <c r="AB21" i="9"/>
  <c r="AB20" i="9"/>
  <c r="AB19" i="9"/>
  <c r="AB18" i="9"/>
  <c r="AB17" i="9"/>
  <c r="AB16" i="9"/>
  <c r="AB15" i="9"/>
  <c r="AB14" i="9"/>
  <c r="AB13" i="9"/>
  <c r="AB12" i="9"/>
  <c r="AB10" i="9"/>
  <c r="AB8" i="9"/>
  <c r="AB7" i="9"/>
  <c r="AB5" i="9"/>
  <c r="AB4" i="9"/>
  <c r="AA22" i="9"/>
  <c r="AA21" i="9"/>
  <c r="AA20" i="9"/>
  <c r="AA19" i="9"/>
  <c r="AA18" i="9"/>
  <c r="AA17" i="9"/>
  <c r="AA16" i="9"/>
  <c r="AA15" i="9"/>
  <c r="AA14" i="9"/>
  <c r="AA13" i="9"/>
  <c r="AA12" i="9"/>
  <c r="AA10" i="9"/>
  <c r="AA5" i="9"/>
  <c r="AA4" i="9"/>
  <c r="Z22" i="9"/>
  <c r="Z21" i="9"/>
  <c r="Z20" i="9"/>
  <c r="Z19" i="9"/>
  <c r="Z18" i="9"/>
  <c r="Z17" i="9"/>
  <c r="Z16" i="9"/>
  <c r="Z12" i="9"/>
  <c r="Z10" i="9"/>
  <c r="Z5" i="9"/>
  <c r="Z4" i="9"/>
  <c r="Y22" i="9"/>
  <c r="Y21" i="9"/>
  <c r="Y20" i="9"/>
  <c r="Y19" i="9"/>
  <c r="Y18" i="9"/>
  <c r="Y17" i="9"/>
  <c r="Y16" i="9"/>
  <c r="Y12" i="9"/>
  <c r="Y10" i="9"/>
  <c r="Y5" i="9"/>
  <c r="Y4" i="9"/>
  <c r="X22" i="9"/>
  <c r="X21" i="9"/>
  <c r="X20" i="9"/>
  <c r="X19" i="9"/>
  <c r="X18" i="9"/>
  <c r="X17" i="9"/>
  <c r="X16" i="9"/>
  <c r="X12" i="9"/>
  <c r="X10" i="9"/>
  <c r="X5" i="9"/>
  <c r="X4" i="9"/>
  <c r="W22" i="9"/>
  <c r="W21" i="9"/>
  <c r="W20" i="9"/>
  <c r="W19" i="9"/>
  <c r="W18" i="9"/>
  <c r="W17" i="9"/>
  <c r="W16" i="9"/>
  <c r="W12" i="9"/>
  <c r="W10" i="9"/>
  <c r="W5" i="9"/>
  <c r="W4" i="9"/>
  <c r="V22" i="9"/>
  <c r="V21" i="9"/>
  <c r="V20" i="9"/>
  <c r="V19" i="9"/>
  <c r="V18" i="9"/>
  <c r="V17" i="9"/>
  <c r="V16" i="9"/>
  <c r="V15" i="9"/>
  <c r="V14" i="9"/>
  <c r="V13" i="9"/>
  <c r="V12" i="9"/>
  <c r="V10" i="9"/>
  <c r="V5" i="9"/>
  <c r="V4" i="9"/>
  <c r="V2" i="9"/>
  <c r="AO62" i="9" s="1"/>
  <c r="S22" i="9"/>
  <c r="S21" i="9"/>
  <c r="S20" i="9"/>
  <c r="S19" i="9"/>
  <c r="S18" i="9"/>
  <c r="S17" i="9"/>
  <c r="S16" i="9"/>
  <c r="S15" i="9"/>
  <c r="S14" i="9"/>
  <c r="S13" i="9"/>
  <c r="S12" i="9"/>
  <c r="S10" i="9"/>
  <c r="S8" i="9"/>
  <c r="S7" i="9"/>
  <c r="S5" i="9"/>
  <c r="S4" i="9"/>
  <c r="Q22" i="9"/>
  <c r="Q21" i="9"/>
  <c r="Q20" i="9"/>
  <c r="Q19" i="9"/>
  <c r="Q18" i="9"/>
  <c r="Q17" i="9"/>
  <c r="Q16" i="9"/>
  <c r="Q15" i="9"/>
  <c r="Q14" i="9"/>
  <c r="Q13" i="9"/>
  <c r="Q12" i="9"/>
  <c r="Q10" i="9"/>
  <c r="Q8" i="9"/>
  <c r="Q7" i="9"/>
  <c r="Q6" i="9"/>
  <c r="Q5" i="9"/>
  <c r="P21" i="9"/>
  <c r="P20" i="9"/>
  <c r="P19" i="9"/>
  <c r="P18" i="9"/>
  <c r="P17" i="9"/>
  <c r="P16" i="9"/>
  <c r="P12" i="9"/>
  <c r="P10" i="9"/>
  <c r="N22" i="9"/>
  <c r="N21" i="9"/>
  <c r="N20" i="9"/>
  <c r="N19" i="9"/>
  <c r="N18" i="9"/>
  <c r="N17" i="9"/>
  <c r="N16" i="9"/>
  <c r="N15" i="9"/>
  <c r="N14" i="9"/>
  <c r="N13" i="9"/>
  <c r="N12" i="9"/>
  <c r="N10" i="9"/>
  <c r="N5" i="9"/>
  <c r="N4" i="9"/>
  <c r="M22" i="9"/>
  <c r="M21" i="9"/>
  <c r="M20" i="9"/>
  <c r="M19" i="9"/>
  <c r="M18" i="9"/>
  <c r="M17" i="9"/>
  <c r="M16" i="9"/>
  <c r="M15" i="9"/>
  <c r="M14" i="9"/>
  <c r="M13" i="9"/>
  <c r="M12" i="9"/>
  <c r="M10" i="9"/>
  <c r="M5" i="9"/>
  <c r="M4" i="9"/>
  <c r="M2" i="9"/>
  <c r="N2" i="9"/>
  <c r="AO53" i="9" s="1"/>
  <c r="P2" i="9"/>
  <c r="Q2" i="9"/>
  <c r="R2" i="9"/>
  <c r="S2" i="9"/>
  <c r="T2" i="9"/>
  <c r="AO59" i="9" s="1"/>
  <c r="U2" i="9"/>
  <c r="L2" i="9"/>
  <c r="L22" i="9"/>
  <c r="L21" i="9"/>
  <c r="L20" i="9"/>
  <c r="L19" i="9"/>
  <c r="L18" i="9"/>
  <c r="L17" i="9"/>
  <c r="L16" i="9"/>
  <c r="L15" i="9"/>
  <c r="L14" i="9"/>
  <c r="L13" i="9"/>
  <c r="L12" i="9"/>
  <c r="L10" i="9"/>
  <c r="L8" i="9"/>
  <c r="L7" i="9"/>
  <c r="L5" i="9"/>
  <c r="L4" i="9"/>
  <c r="K21" i="9"/>
  <c r="K20" i="9"/>
  <c r="K19" i="9"/>
  <c r="K18" i="9"/>
  <c r="K17" i="9"/>
  <c r="K16" i="9"/>
  <c r="K12" i="9"/>
  <c r="K10" i="9"/>
  <c r="J21" i="9"/>
  <c r="J20" i="9"/>
  <c r="J19" i="9"/>
  <c r="J18" i="9"/>
  <c r="J17" i="9"/>
  <c r="J16" i="9"/>
  <c r="J14" i="9"/>
  <c r="J12" i="9"/>
  <c r="J10" i="9"/>
  <c r="I22" i="9"/>
  <c r="I21" i="9"/>
  <c r="I20" i="9"/>
  <c r="I19" i="9"/>
  <c r="I18" i="9"/>
  <c r="I17" i="9"/>
  <c r="I16" i="9"/>
  <c r="I15" i="9"/>
  <c r="I14" i="9"/>
  <c r="I13" i="9"/>
  <c r="I12" i="9"/>
  <c r="I10" i="9"/>
  <c r="I8" i="9"/>
  <c r="I7" i="9"/>
  <c r="I5" i="9"/>
  <c r="I4" i="9"/>
  <c r="H22" i="9"/>
  <c r="H21" i="9"/>
  <c r="H20" i="9"/>
  <c r="H19" i="9"/>
  <c r="H18" i="9"/>
  <c r="H17" i="9"/>
  <c r="H16" i="9"/>
  <c r="H12" i="9"/>
  <c r="H10" i="9"/>
  <c r="H5" i="9"/>
  <c r="H4" i="9"/>
  <c r="G22" i="9"/>
  <c r="G21" i="9"/>
  <c r="G20" i="9"/>
  <c r="G19" i="9"/>
  <c r="G18" i="9"/>
  <c r="G17" i="9"/>
  <c r="G16" i="9"/>
  <c r="G15" i="9"/>
  <c r="G14" i="9"/>
  <c r="G13" i="9"/>
  <c r="G12" i="9"/>
  <c r="G10" i="9"/>
  <c r="G5" i="9"/>
  <c r="G4" i="9"/>
  <c r="F22" i="9"/>
  <c r="F21" i="9"/>
  <c r="F20" i="9"/>
  <c r="F19" i="9"/>
  <c r="F18" i="9"/>
  <c r="F17" i="9"/>
  <c r="F16" i="9"/>
  <c r="F15" i="9"/>
  <c r="F14" i="9"/>
  <c r="F13" i="9"/>
  <c r="F12" i="9"/>
  <c r="F10" i="9"/>
  <c r="F5" i="9"/>
  <c r="E22" i="9"/>
  <c r="E21" i="9"/>
  <c r="AD21" i="9" s="1"/>
  <c r="E20" i="9"/>
  <c r="AD20" i="9" s="1"/>
  <c r="E19" i="9"/>
  <c r="AD19" i="9" s="1"/>
  <c r="E18" i="9"/>
  <c r="AD18" i="9" s="1"/>
  <c r="E17" i="9"/>
  <c r="AD17" i="9" s="1"/>
  <c r="E16" i="9"/>
  <c r="AD16" i="9" s="1"/>
  <c r="E15" i="9"/>
  <c r="AD15" i="9" s="1"/>
  <c r="E14" i="9"/>
  <c r="AD14" i="9" s="1"/>
  <c r="E13" i="9"/>
  <c r="AD13" i="9" s="1"/>
  <c r="E12" i="9"/>
  <c r="AD12" i="9" s="1"/>
  <c r="E10" i="9"/>
  <c r="AD10" i="9" s="1"/>
  <c r="E8" i="9"/>
  <c r="AD8" i="9" s="1"/>
  <c r="E7" i="9"/>
  <c r="AD7" i="9" s="1"/>
  <c r="E5" i="9"/>
  <c r="AD5" i="9" s="1"/>
  <c r="AS10" i="9" l="1"/>
  <c r="AS21" i="9"/>
  <c r="AS18" i="9"/>
  <c r="AS17" i="9"/>
  <c r="AR18" i="9"/>
  <c r="AR21" i="9"/>
  <c r="AR17" i="9"/>
  <c r="AR5" i="9"/>
  <c r="AR10" i="9"/>
  <c r="O19" i="9"/>
  <c r="O16" i="9"/>
  <c r="O13" i="9"/>
  <c r="O10" i="9"/>
  <c r="O21" i="9"/>
  <c r="O15" i="9"/>
  <c r="O12" i="9"/>
  <c r="O9" i="9"/>
  <c r="O20" i="9"/>
  <c r="O17" i="9"/>
  <c r="O14" i="9"/>
  <c r="AO60" i="9"/>
  <c r="AO61" i="9"/>
  <c r="AX7" i="9"/>
  <c r="AW7" i="9"/>
  <c r="AS7" i="9"/>
  <c r="AT7" i="9"/>
  <c r="AV7" i="9"/>
  <c r="AR7" i="9"/>
  <c r="AU7" i="9"/>
  <c r="AQ7" i="9"/>
  <c r="AX8" i="9"/>
  <c r="AT8" i="9"/>
  <c r="AS8" i="9"/>
  <c r="AV8" i="9"/>
  <c r="AR8" i="9"/>
  <c r="AW8" i="9"/>
  <c r="AU8" i="9"/>
  <c r="AQ8" i="9"/>
  <c r="O23" i="9"/>
  <c r="O22" i="9"/>
  <c r="O5" i="9"/>
  <c r="O4" i="9"/>
  <c r="F4" i="9"/>
  <c r="E4" i="9"/>
  <c r="E227" i="3"/>
  <c r="H227" i="3" s="1"/>
  <c r="I227" i="3" s="1"/>
  <c r="Q227" i="3"/>
  <c r="H228" i="3"/>
  <c r="I228" i="3" s="1"/>
  <c r="K228" i="3"/>
  <c r="L228" i="3"/>
  <c r="M228" i="3" s="1"/>
  <c r="Q228" i="3"/>
  <c r="H229" i="3"/>
  <c r="I229" i="3" s="1"/>
  <c r="K229" i="3"/>
  <c r="M229" i="3"/>
  <c r="Q229" i="3"/>
  <c r="H230" i="3"/>
  <c r="I230" i="3" s="1"/>
  <c r="K230" i="3"/>
  <c r="L230" i="3"/>
  <c r="M230" i="3" s="1"/>
  <c r="Q230" i="3"/>
  <c r="H231" i="3"/>
  <c r="I231" i="3" s="1"/>
  <c r="K231" i="3"/>
  <c r="L231" i="3"/>
  <c r="M231" i="3" s="1"/>
  <c r="Q231" i="3"/>
  <c r="AA39" i="3"/>
  <c r="Z2" i="4"/>
  <c r="C51" i="4" s="1"/>
  <c r="AA2" i="4"/>
  <c r="C52" i="4" s="1"/>
  <c r="AB2" i="4"/>
  <c r="V2" i="4"/>
  <c r="W2" i="4"/>
  <c r="X2" i="4"/>
  <c r="Y2" i="4"/>
  <c r="C50" i="4" s="1"/>
  <c r="U2" i="4"/>
  <c r="T2" i="4"/>
  <c r="S2" i="4"/>
  <c r="C42" i="4" s="1"/>
  <c r="R2" i="4"/>
  <c r="Q2" i="4"/>
  <c r="P2" i="4"/>
  <c r="C39" i="4" s="1"/>
  <c r="O2" i="4"/>
  <c r="N2" i="4"/>
  <c r="M2" i="4"/>
  <c r="L2" i="4"/>
  <c r="K2" i="4"/>
  <c r="J2" i="4"/>
  <c r="I2" i="4"/>
  <c r="H2" i="4"/>
  <c r="C31" i="4" s="1"/>
  <c r="G2" i="4"/>
  <c r="F2" i="4"/>
  <c r="C29" i="4" s="1"/>
  <c r="E2" i="4"/>
  <c r="C28" i="4" s="1"/>
  <c r="B20" i="4"/>
  <c r="B19" i="4"/>
  <c r="B18" i="4"/>
  <c r="B17" i="4"/>
  <c r="B16" i="4"/>
  <c r="B15" i="4"/>
  <c r="B14" i="4"/>
  <c r="B13" i="4"/>
  <c r="B12" i="4"/>
  <c r="B11" i="4"/>
  <c r="B10" i="4"/>
  <c r="B9" i="4"/>
  <c r="B8" i="4"/>
  <c r="B7" i="4"/>
  <c r="B6" i="4"/>
  <c r="B5" i="4"/>
  <c r="B4" i="4"/>
  <c r="B3" i="4"/>
  <c r="AI27" i="4" l="1"/>
  <c r="AI46" i="4" s="1"/>
  <c r="AH27" i="4"/>
  <c r="AH38" i="4" s="1"/>
  <c r="AF27" i="4"/>
  <c r="AF51" i="4" s="1"/>
  <c r="AE27" i="4"/>
  <c r="AE42" i="4" s="1"/>
  <c r="AG27" i="4"/>
  <c r="AG51" i="4" s="1"/>
  <c r="AD27" i="4"/>
  <c r="AD51" i="4" s="1"/>
  <c r="AK27" i="4"/>
  <c r="AK46" i="4" s="1"/>
  <c r="AJ27" i="4"/>
  <c r="AJ42" i="4" s="1"/>
  <c r="AI49" i="4"/>
  <c r="AI50" i="4"/>
  <c r="AI52" i="4"/>
  <c r="AI40" i="4"/>
  <c r="AI48" i="4"/>
  <c r="AI51" i="4"/>
  <c r="AH40" i="4"/>
  <c r="AI38" i="4"/>
  <c r="AF49" i="4"/>
  <c r="AF38" i="4"/>
  <c r="AF48" i="4"/>
  <c r="AC28" i="4"/>
  <c r="D36" i="3" s="1"/>
  <c r="AQ4" i="9"/>
  <c r="AU4" i="9"/>
  <c r="AX4" i="9"/>
  <c r="AR4" i="9"/>
  <c r="AV4" i="9"/>
  <c r="AS4" i="9"/>
  <c r="AW4" i="9"/>
  <c r="AT4" i="9"/>
  <c r="AD4" i="9"/>
  <c r="AM39" i="5"/>
  <c r="D38" i="5"/>
  <c r="D31" i="5"/>
  <c r="D30" i="5"/>
  <c r="D24" i="5"/>
  <c r="D23" i="5"/>
  <c r="D22" i="5"/>
  <c r="D21" i="5"/>
  <c r="F21" i="5"/>
  <c r="F22" i="5"/>
  <c r="AF32" i="5"/>
  <c r="AE11" i="5"/>
  <c r="AD11" i="5"/>
  <c r="AC11" i="5"/>
  <c r="AF38" i="5"/>
  <c r="AF23" i="5"/>
  <c r="N18" i="5"/>
  <c r="AE18" i="5" s="1"/>
  <c r="M18" i="5"/>
  <c r="AD18" i="5" s="1"/>
  <c r="AC18" i="5"/>
  <c r="K14" i="5"/>
  <c r="Q58" i="3"/>
  <c r="Q59" i="3"/>
  <c r="Q60" i="3"/>
  <c r="Q61" i="3"/>
  <c r="Q62" i="3"/>
  <c r="Q63" i="3"/>
  <c r="Q64" i="3"/>
  <c r="Q65" i="3"/>
  <c r="Q66" i="3"/>
  <c r="Q67" i="3"/>
  <c r="Q68" i="3"/>
  <c r="Q69" i="3"/>
  <c r="Q70" i="3"/>
  <c r="Q71" i="3"/>
  <c r="Q72" i="3"/>
  <c r="Q73" i="3"/>
  <c r="Q74" i="3"/>
  <c r="Q75" i="3"/>
  <c r="Q76" i="3"/>
  <c r="Q77" i="3"/>
  <c r="Q78" i="3"/>
  <c r="Q79" i="3"/>
  <c r="Q80" i="3"/>
  <c r="Q81" i="3"/>
  <c r="Q82" i="3"/>
  <c r="Q83" i="3"/>
  <c r="Q86" i="3"/>
  <c r="Q87" i="3"/>
  <c r="Q88" i="3"/>
  <c r="Q89" i="3"/>
  <c r="Q90" i="3"/>
  <c r="Q91" i="3"/>
  <c r="Q92" i="3"/>
  <c r="Q93" i="3"/>
  <c r="Q94" i="3"/>
  <c r="Q95" i="3"/>
  <c r="Q96" i="3"/>
  <c r="Q97" i="3"/>
  <c r="Q98" i="3"/>
  <c r="Q99" i="3"/>
  <c r="Q100" i="3"/>
  <c r="Q101" i="3"/>
  <c r="Q102" i="3"/>
  <c r="Q103" i="3"/>
  <c r="Q104" i="3"/>
  <c r="Q105" i="3"/>
  <c r="Q106" i="3"/>
  <c r="Q107" i="3"/>
  <c r="Q108" i="3"/>
  <c r="Q109" i="3"/>
  <c r="Q110" i="3"/>
  <c r="Q111" i="3"/>
  <c r="Q112" i="3"/>
  <c r="Q113" i="3"/>
  <c r="Q114" i="3"/>
  <c r="Q115" i="3"/>
  <c r="Q116" i="3"/>
  <c r="Q117" i="3"/>
  <c r="Q118" i="3"/>
  <c r="Q119" i="3"/>
  <c r="Q120" i="3"/>
  <c r="Q121" i="3"/>
  <c r="Q122" i="3"/>
  <c r="Q123" i="3"/>
  <c r="Q124" i="3"/>
  <c r="Q125" i="3"/>
  <c r="Q126" i="3"/>
  <c r="Q130" i="3"/>
  <c r="Q131" i="3"/>
  <c r="Q132" i="3"/>
  <c r="Q133" i="3"/>
  <c r="Q134" i="3"/>
  <c r="Q135" i="3"/>
  <c r="Q136" i="3"/>
  <c r="Q137" i="3"/>
  <c r="Q138" i="3"/>
  <c r="Q139" i="3"/>
  <c r="Q140" i="3"/>
  <c r="Q141" i="3"/>
  <c r="Q142" i="3"/>
  <c r="Q143" i="3"/>
  <c r="Q144" i="3"/>
  <c r="Q145" i="3"/>
  <c r="Q146" i="3"/>
  <c r="Q147" i="3"/>
  <c r="Q148" i="3"/>
  <c r="Q149" i="3"/>
  <c r="Q150" i="3"/>
  <c r="Q151" i="3"/>
  <c r="Q152" i="3"/>
  <c r="Q153" i="3"/>
  <c r="Q154" i="3"/>
  <c r="Q155" i="3"/>
  <c r="Q156" i="3"/>
  <c r="Q157" i="3"/>
  <c r="Q158" i="3"/>
  <c r="Q159" i="3"/>
  <c r="Q160" i="3"/>
  <c r="Q161" i="3"/>
  <c r="Q162" i="3"/>
  <c r="Q165" i="3"/>
  <c r="Q166" i="3"/>
  <c r="Q167" i="3"/>
  <c r="Q168" i="3"/>
  <c r="M22" i="5" s="1"/>
  <c r="Q169" i="3"/>
  <c r="Q170" i="3"/>
  <c r="Q171" i="3"/>
  <c r="Q172" i="3"/>
  <c r="Q173" i="3"/>
  <c r="Q174" i="3"/>
  <c r="Q175" i="3"/>
  <c r="Q176" i="3"/>
  <c r="Q177" i="3"/>
  <c r="Q178" i="3"/>
  <c r="Q179" i="3"/>
  <c r="Q180" i="3"/>
  <c r="Q181" i="3"/>
  <c r="Q182" i="3"/>
  <c r="Q183" i="3"/>
  <c r="Q184" i="3"/>
  <c r="Q185" i="3"/>
  <c r="Q186" i="3"/>
  <c r="Q187" i="3"/>
  <c r="Q188" i="3"/>
  <c r="Q189" i="3"/>
  <c r="Q190" i="3"/>
  <c r="Q191" i="3"/>
  <c r="Q192" i="3"/>
  <c r="Q193" i="3"/>
  <c r="Q194" i="3"/>
  <c r="Q195" i="3"/>
  <c r="Q196" i="3"/>
  <c r="Q197" i="3"/>
  <c r="Q198" i="3"/>
  <c r="Q199" i="3"/>
  <c r="Q202" i="3"/>
  <c r="Q203" i="3"/>
  <c r="Q204" i="3"/>
  <c r="Q205" i="3"/>
  <c r="Q206" i="3"/>
  <c r="Q207" i="3"/>
  <c r="Q208" i="3"/>
  <c r="Q209" i="3"/>
  <c r="Q210" i="3"/>
  <c r="Q211" i="3"/>
  <c r="Q212" i="3"/>
  <c r="Q213" i="3"/>
  <c r="Q214" i="3"/>
  <c r="Q215" i="3"/>
  <c r="Q216" i="3"/>
  <c r="Q217" i="3"/>
  <c r="Q218" i="3"/>
  <c r="Q219" i="3"/>
  <c r="Q220" i="3"/>
  <c r="Q221" i="3"/>
  <c r="Q222" i="3"/>
  <c r="Q223" i="3"/>
  <c r="Q224" i="3"/>
  <c r="Q225" i="3"/>
  <c r="M38" i="5" s="1"/>
  <c r="Q226" i="3"/>
  <c r="Q232" i="3"/>
  <c r="Q233" i="3"/>
  <c r="Q234" i="3"/>
  <c r="Q235" i="3"/>
  <c r="Q236" i="3"/>
  <c r="Q237" i="3"/>
  <c r="Q238" i="3"/>
  <c r="Q239" i="3"/>
  <c r="Q242" i="3"/>
  <c r="Q243" i="3"/>
  <c r="Q244" i="3"/>
  <c r="Q245" i="3"/>
  <c r="Q246" i="3"/>
  <c r="Q247" i="3"/>
  <c r="Q248" i="3"/>
  <c r="Q249" i="3"/>
  <c r="Q250" i="3"/>
  <c r="Q265" i="3"/>
  <c r="Q266" i="3"/>
  <c r="Q267" i="3"/>
  <c r="Q268" i="3"/>
  <c r="Q269" i="3"/>
  <c r="Q270" i="3"/>
  <c r="Q271" i="3"/>
  <c r="Q272" i="3"/>
  <c r="Q273" i="3"/>
  <c r="Q274" i="3"/>
  <c r="Q275" i="3"/>
  <c r="Q276" i="3"/>
  <c r="Q277" i="3"/>
  <c r="Q278" i="3"/>
  <c r="W32" i="5"/>
  <c r="D29" i="6"/>
  <c r="C29" i="6"/>
  <c r="AC52" i="4" l="1"/>
  <c r="AG38" i="4"/>
  <c r="AH48" i="4"/>
  <c r="AC50" i="4"/>
  <c r="AF46" i="4"/>
  <c r="AH46" i="4"/>
  <c r="AJ38" i="4"/>
  <c r="N43" i="3" s="1"/>
  <c r="AK42" i="4"/>
  <c r="AK50" i="4"/>
  <c r="AD40" i="4"/>
  <c r="AG46" i="4"/>
  <c r="V40" i="3" s="1"/>
  <c r="W23" i="9" s="1"/>
  <c r="AG52" i="4"/>
  <c r="AB40" i="3" s="1"/>
  <c r="AC38" i="4"/>
  <c r="AI42" i="4"/>
  <c r="AC40" i="4"/>
  <c r="AF40" i="4"/>
  <c r="AC49" i="4"/>
  <c r="AH42" i="4"/>
  <c r="AC51" i="4"/>
  <c r="AC42" i="4"/>
  <c r="AH51" i="4"/>
  <c r="AC47" i="4"/>
  <c r="AF47" i="4"/>
  <c r="AC46" i="4"/>
  <c r="AF50" i="4"/>
  <c r="AF42" i="4"/>
  <c r="AC48" i="4"/>
  <c r="AG40" i="4"/>
  <c r="P40" i="3" s="1"/>
  <c r="S23" i="9" s="1"/>
  <c r="AG48" i="4"/>
  <c r="X40" i="3" s="1"/>
  <c r="Y23" i="9" s="1"/>
  <c r="AE52" i="4"/>
  <c r="AE48" i="4"/>
  <c r="AE40" i="4"/>
  <c r="AE46" i="4"/>
  <c r="AE38" i="4"/>
  <c r="AE49" i="4"/>
  <c r="AK51" i="4"/>
  <c r="AK38" i="4"/>
  <c r="AG42" i="4"/>
  <c r="AK40" i="4"/>
  <c r="AK49" i="4"/>
  <c r="AG50" i="4"/>
  <c r="Z40" i="3" s="1"/>
  <c r="AA23" i="9" s="1"/>
  <c r="AK48" i="4"/>
  <c r="AE50" i="4"/>
  <c r="AJ48" i="4"/>
  <c r="X43" i="3" s="1"/>
  <c r="AJ46" i="4"/>
  <c r="V43" i="3" s="1"/>
  <c r="AD49" i="4"/>
  <c r="AD48" i="4"/>
  <c r="AD38" i="4"/>
  <c r="AJ52" i="4"/>
  <c r="AB43" i="3" s="1"/>
  <c r="AJ40" i="4"/>
  <c r="P43" i="3" s="1"/>
  <c r="AJ49" i="4"/>
  <c r="Y43" i="3" s="1"/>
  <c r="AD52" i="4"/>
  <c r="AH49" i="4"/>
  <c r="AG47" i="4"/>
  <c r="W40" i="3" s="1"/>
  <c r="X23" i="9" s="1"/>
  <c r="AD42" i="4"/>
  <c r="AE51" i="4"/>
  <c r="AE28" i="4"/>
  <c r="AE24" i="4" s="1"/>
  <c r="AE23" i="4" s="1"/>
  <c r="AE45" i="4" s="1"/>
  <c r="AK52" i="4"/>
  <c r="AK28" i="4"/>
  <c r="AK24" i="4" s="1"/>
  <c r="AK23" i="4" s="1"/>
  <c r="AK45" i="4" s="1"/>
  <c r="AF52" i="4"/>
  <c r="AF23" i="4"/>
  <c r="AF45" i="4" s="1"/>
  <c r="AF24" i="4"/>
  <c r="AF28" i="4"/>
  <c r="AF29" i="4"/>
  <c r="AH47" i="4"/>
  <c r="AH28" i="4"/>
  <c r="AH24" i="4"/>
  <c r="AH23" i="4"/>
  <c r="AH45" i="4" s="1"/>
  <c r="AH29" i="4"/>
  <c r="AJ50" i="4"/>
  <c r="Z43" i="3" s="1"/>
  <c r="AJ23" i="4"/>
  <c r="AJ45" i="4" s="1"/>
  <c r="AJ28" i="4"/>
  <c r="AJ24" i="4"/>
  <c r="AJ29" i="4"/>
  <c r="AD47" i="4"/>
  <c r="AD29" i="4"/>
  <c r="E37" i="3" s="1"/>
  <c r="AD23" i="4"/>
  <c r="AD45" i="4" s="1"/>
  <c r="AD24" i="4"/>
  <c r="AD28" i="4"/>
  <c r="D37" i="3" s="1"/>
  <c r="AJ47" i="4"/>
  <c r="W43" i="3" s="1"/>
  <c r="AE47" i="4"/>
  <c r="AK47" i="4"/>
  <c r="AJ51" i="4"/>
  <c r="AA43" i="3" s="1"/>
  <c r="AD50" i="4"/>
  <c r="AI47" i="4"/>
  <c r="AI28" i="4"/>
  <c r="AI24" i="4" s="1"/>
  <c r="AI23" i="4" s="1"/>
  <c r="AI45" i="4" s="1"/>
  <c r="AG49" i="4"/>
  <c r="Y40" i="3" s="1"/>
  <c r="Z23" i="9" s="1"/>
  <c r="AG28" i="4"/>
  <c r="AG24" i="4" s="1"/>
  <c r="AG23" i="4" s="1"/>
  <c r="AG45" i="4" s="1"/>
  <c r="AD46" i="4"/>
  <c r="V37" i="3" s="1"/>
  <c r="AH50" i="4"/>
  <c r="AH52" i="4"/>
  <c r="AH32" i="5"/>
  <c r="AK32" i="5"/>
  <c r="AJ32" i="5"/>
  <c r="AI32" i="5"/>
  <c r="M31" i="5"/>
  <c r="AA40" i="3"/>
  <c r="AB23" i="9" s="1"/>
  <c r="N40" i="3"/>
  <c r="Q23" i="9" s="1"/>
  <c r="M23" i="5"/>
  <c r="C42" i="3"/>
  <c r="C38" i="3"/>
  <c r="C43" i="3"/>
  <c r="C40" i="3"/>
  <c r="E23" i="9" s="1"/>
  <c r="C41" i="3"/>
  <c r="C44" i="3"/>
  <c r="C39" i="3"/>
  <c r="C37" i="3"/>
  <c r="M24" i="5"/>
  <c r="M30" i="5"/>
  <c r="M20" i="5"/>
  <c r="M21" i="5"/>
  <c r="M250" i="3"/>
  <c r="M249" i="3"/>
  <c r="M248" i="3"/>
  <c r="M247" i="3"/>
  <c r="M246" i="3"/>
  <c r="M245" i="3"/>
  <c r="M244" i="3"/>
  <c r="M243" i="3"/>
  <c r="M242" i="3"/>
  <c r="M208" i="3"/>
  <c r="J19" i="7" l="1"/>
  <c r="AF11" i="7"/>
  <c r="H37" i="5"/>
  <c r="AJ41" i="4"/>
  <c r="Q43" i="3" s="1"/>
  <c r="AH41" i="4"/>
  <c r="AI41" i="4"/>
  <c r="Q42" i="3" s="1"/>
  <c r="AF41" i="4"/>
  <c r="Q39" i="3" s="1"/>
  <c r="AD41" i="4"/>
  <c r="AE41" i="4"/>
  <c r="AK41" i="4"/>
  <c r="AC41" i="4"/>
  <c r="AG41" i="4"/>
  <c r="Q40" i="3" s="1"/>
  <c r="AD36" i="4"/>
  <c r="L37" i="3" s="1"/>
  <c r="AD35" i="4"/>
  <c r="AF35" i="4"/>
  <c r="AF36" i="4"/>
  <c r="L39" i="3" s="1"/>
  <c r="AI36" i="4"/>
  <c r="L42" i="3" s="1"/>
  <c r="AI35" i="4"/>
  <c r="AJ36" i="4"/>
  <c r="L43" i="3" s="1"/>
  <c r="AJ35" i="4"/>
  <c r="AH36" i="4"/>
  <c r="L41" i="3" s="1"/>
  <c r="AH35" i="4"/>
  <c r="AE35" i="4"/>
  <c r="AE36" i="4"/>
  <c r="AK36" i="4"/>
  <c r="L44" i="3" s="1"/>
  <c r="AK35" i="4"/>
  <c r="AG35" i="4"/>
  <c r="AG36" i="4"/>
  <c r="L40" i="3" s="1"/>
  <c r="N23" i="9" s="1"/>
  <c r="AD32" i="4"/>
  <c r="AD25" i="4"/>
  <c r="AD37" i="4"/>
  <c r="AD30" i="4"/>
  <c r="F37" i="3" s="1"/>
  <c r="AD33" i="4"/>
  <c r="AD31" i="4"/>
  <c r="G37" i="3" s="1"/>
  <c r="AD39" i="4"/>
  <c r="O37" i="3" s="1"/>
  <c r="AI39" i="4"/>
  <c r="O42" i="3" s="1"/>
  <c r="AI30" i="4"/>
  <c r="AI25" i="4" s="1"/>
  <c r="AF32" i="4"/>
  <c r="AF37" i="4"/>
  <c r="AF25" i="4"/>
  <c r="AF31" i="4"/>
  <c r="G39" i="3" s="1"/>
  <c r="AF30" i="4"/>
  <c r="F39" i="3" s="1"/>
  <c r="AF39" i="4"/>
  <c r="O39" i="3" s="1"/>
  <c r="AF33" i="4"/>
  <c r="AJ31" i="4"/>
  <c r="G43" i="3" s="1"/>
  <c r="AJ33" i="4"/>
  <c r="AJ39" i="4"/>
  <c r="O43" i="3" s="1"/>
  <c r="AJ30" i="4"/>
  <c r="F43" i="3" s="1"/>
  <c r="AJ25" i="4"/>
  <c r="AJ37" i="4"/>
  <c r="AJ32" i="4"/>
  <c r="AK39" i="4"/>
  <c r="O44" i="3" s="1"/>
  <c r="AK30" i="4"/>
  <c r="F44" i="3" s="1"/>
  <c r="AG30" i="4"/>
  <c r="AG25" i="4" s="1"/>
  <c r="AG39" i="4"/>
  <c r="O40" i="3" s="1"/>
  <c r="AH31" i="4"/>
  <c r="G41" i="3" s="1"/>
  <c r="AH39" i="4"/>
  <c r="O41" i="3" s="1"/>
  <c r="AH25" i="4"/>
  <c r="AH32" i="4"/>
  <c r="AH30" i="4"/>
  <c r="F41" i="3" s="1"/>
  <c r="AH33" i="4"/>
  <c r="AH37" i="4"/>
  <c r="AE39" i="4"/>
  <c r="O38" i="3" s="1"/>
  <c r="AE30" i="4"/>
  <c r="AE25" i="4" s="1"/>
  <c r="X37" i="3"/>
  <c r="W37" i="3"/>
  <c r="AB37" i="3"/>
  <c r="R37" i="3"/>
  <c r="AA37" i="3"/>
  <c r="Z37" i="3"/>
  <c r="P37" i="3"/>
  <c r="R40" i="3"/>
  <c r="N37" i="3"/>
  <c r="Y37" i="3"/>
  <c r="X44" i="3"/>
  <c r="AA44" i="3"/>
  <c r="P44" i="3"/>
  <c r="N44" i="3"/>
  <c r="Y44" i="3"/>
  <c r="D44" i="3"/>
  <c r="Z44" i="3"/>
  <c r="AB44" i="3"/>
  <c r="V44" i="3"/>
  <c r="W44" i="3"/>
  <c r="V39" i="3"/>
  <c r="N39" i="3"/>
  <c r="D39" i="3"/>
  <c r="AB39" i="3"/>
  <c r="Z39" i="3"/>
  <c r="X39" i="3"/>
  <c r="P39" i="3"/>
  <c r="Y39" i="3"/>
  <c r="W39" i="3"/>
  <c r="Z42" i="3"/>
  <c r="Y42" i="3"/>
  <c r="D42" i="3"/>
  <c r="V42" i="3"/>
  <c r="AA42" i="3"/>
  <c r="X42" i="3"/>
  <c r="AB42" i="3"/>
  <c r="W42" i="3"/>
  <c r="P42" i="3"/>
  <c r="X41" i="3"/>
  <c r="P41" i="3"/>
  <c r="W41" i="3"/>
  <c r="D41" i="3"/>
  <c r="Y41" i="3"/>
  <c r="AB41" i="3"/>
  <c r="AA41" i="3"/>
  <c r="Z41" i="3"/>
  <c r="V41" i="3"/>
  <c r="R43" i="3"/>
  <c r="D43" i="3"/>
  <c r="D40" i="3"/>
  <c r="F23" i="9" s="1"/>
  <c r="M202" i="3"/>
  <c r="AK25" i="4" l="1"/>
  <c r="F42" i="3"/>
  <c r="F40" i="3"/>
  <c r="H23" i="9" s="1"/>
  <c r="Q37" i="3"/>
  <c r="Q44" i="3"/>
  <c r="R42" i="3"/>
  <c r="R41" i="3"/>
  <c r="R44" i="3"/>
  <c r="N41" i="3"/>
  <c r="Q41" i="3"/>
  <c r="R39" i="3"/>
  <c r="N42" i="3"/>
  <c r="M92" i="3"/>
  <c r="U23" i="9" l="1"/>
  <c r="T23" i="9"/>
  <c r="R23" i="9"/>
  <c r="AD23" i="9"/>
  <c r="U22" i="9"/>
  <c r="T22" i="9"/>
  <c r="R22" i="9"/>
  <c r="AD22" i="9"/>
  <c r="U21" i="9"/>
  <c r="T21" i="9"/>
  <c r="R21" i="9"/>
  <c r="U20" i="9"/>
  <c r="T20" i="9"/>
  <c r="R20" i="9"/>
  <c r="U19" i="9"/>
  <c r="T19" i="9"/>
  <c r="R19" i="9"/>
  <c r="U18" i="9"/>
  <c r="T18" i="9"/>
  <c r="R18" i="9"/>
  <c r="U17" i="9"/>
  <c r="T17" i="9"/>
  <c r="R17" i="9"/>
  <c r="U16" i="9"/>
  <c r="T16" i="9"/>
  <c r="R16" i="9"/>
  <c r="U15" i="9"/>
  <c r="T15" i="9"/>
  <c r="R15" i="9"/>
  <c r="U14" i="9"/>
  <c r="T14" i="9"/>
  <c r="R14" i="9"/>
  <c r="U13" i="9"/>
  <c r="T13" i="9"/>
  <c r="R13" i="9"/>
  <c r="U12" i="9"/>
  <c r="T12" i="9"/>
  <c r="R12" i="9"/>
  <c r="R11" i="9"/>
  <c r="U10" i="9"/>
  <c r="T10" i="9"/>
  <c r="R10" i="9"/>
  <c r="T8" i="9"/>
  <c r="R8" i="9"/>
  <c r="T7" i="9"/>
  <c r="R7" i="9"/>
  <c r="T6" i="9"/>
  <c r="R6" i="9"/>
  <c r="U5" i="9"/>
  <c r="T5" i="9"/>
  <c r="R5" i="9"/>
  <c r="U4" i="9"/>
  <c r="T4" i="9"/>
  <c r="R24" i="5"/>
  <c r="R23" i="5"/>
  <c r="R22" i="5"/>
  <c r="R21" i="5"/>
  <c r="H151" i="3" l="1"/>
  <c r="I151" i="3" s="1"/>
  <c r="M151" i="3"/>
  <c r="AK54" i="4" l="1"/>
  <c r="AJ54" i="4"/>
  <c r="BG40" i="9"/>
  <c r="BE40" i="9"/>
  <c r="AF50" i="5"/>
  <c r="AE50" i="5"/>
  <c r="Y272" i="3" l="1"/>
  <c r="X272" i="3"/>
  <c r="V272" i="3"/>
  <c r="I272" i="3"/>
  <c r="M272" i="3"/>
  <c r="AB198" i="3"/>
  <c r="AC8" i="9" s="1"/>
  <c r="AB197" i="3"/>
  <c r="AB169" i="3"/>
  <c r="AB170" i="3"/>
  <c r="AB171" i="3"/>
  <c r="AB172" i="3"/>
  <c r="AB173" i="3"/>
  <c r="AB174" i="3"/>
  <c r="AB175" i="3"/>
  <c r="AB176" i="3"/>
  <c r="AB177" i="3"/>
  <c r="AB178" i="3"/>
  <c r="AB179" i="3"/>
  <c r="AB180" i="3"/>
  <c r="AB181" i="3"/>
  <c r="AB182" i="3"/>
  <c r="AB183" i="3"/>
  <c r="AB184" i="3"/>
  <c r="AB185" i="3"/>
  <c r="AB186" i="3"/>
  <c r="AB187" i="3"/>
  <c r="AB188" i="3"/>
  <c r="AB189" i="3"/>
  <c r="AB190" i="3"/>
  <c r="AB191" i="3"/>
  <c r="AB192" i="3"/>
  <c r="AB193" i="3"/>
  <c r="AB194" i="3"/>
  <c r="AB168" i="3"/>
  <c r="AB154" i="3"/>
  <c r="AB155" i="3"/>
  <c r="AB157" i="3"/>
  <c r="AB158" i="3"/>
  <c r="AB159" i="3"/>
  <c r="AB160" i="3"/>
  <c r="AB161" i="3"/>
  <c r="AB153" i="3"/>
  <c r="AB143" i="3"/>
  <c r="AB144" i="3"/>
  <c r="AB145" i="3"/>
  <c r="AB146" i="3"/>
  <c r="AB147" i="3"/>
  <c r="AB142" i="3"/>
  <c r="AB125" i="3"/>
  <c r="AB126" i="3"/>
  <c r="AB127" i="3"/>
  <c r="AB128" i="3"/>
  <c r="AB129" i="3"/>
  <c r="AB130" i="3"/>
  <c r="AB131" i="3"/>
  <c r="AB132" i="3"/>
  <c r="AB133" i="3"/>
  <c r="AB124" i="3"/>
  <c r="AB95" i="3"/>
  <c r="AB96" i="3"/>
  <c r="AB97" i="3"/>
  <c r="AB98" i="3"/>
  <c r="AC7" i="9" s="1"/>
  <c r="AB99" i="3"/>
  <c r="AB100" i="3"/>
  <c r="AB101" i="3"/>
  <c r="AB102" i="3"/>
  <c r="AB103" i="3"/>
  <c r="AB104" i="3"/>
  <c r="AB105" i="3"/>
  <c r="AB106" i="3"/>
  <c r="AB107" i="3"/>
  <c r="AB108" i="3"/>
  <c r="AB109" i="3"/>
  <c r="AB110" i="3"/>
  <c r="AB111" i="3"/>
  <c r="AB112" i="3"/>
  <c r="AB113" i="3"/>
  <c r="AB114" i="3"/>
  <c r="AB94" i="3"/>
  <c r="AB59" i="3"/>
  <c r="AB60" i="3"/>
  <c r="AB61" i="3"/>
  <c r="AC23" i="9" s="1"/>
  <c r="AB62" i="3"/>
  <c r="AB63" i="3"/>
  <c r="AB64" i="3"/>
  <c r="AB65" i="3"/>
  <c r="AB66" i="3"/>
  <c r="AB58" i="3"/>
  <c r="H77" i="3"/>
  <c r="I77" i="3" s="1"/>
  <c r="M77" i="3"/>
  <c r="AC22" i="9" l="1"/>
  <c r="AC5" i="9"/>
  <c r="AC4" i="9"/>
  <c r="M114" i="3"/>
  <c r="H114" i="3"/>
  <c r="I114" i="3" s="1"/>
  <c r="M113" i="3"/>
  <c r="H113" i="3"/>
  <c r="I113" i="3" s="1"/>
  <c r="M112" i="3"/>
  <c r="H112" i="3"/>
  <c r="I112" i="3" s="1"/>
  <c r="M111" i="3"/>
  <c r="H111" i="3"/>
  <c r="I111" i="3" s="1"/>
  <c r="M110" i="3"/>
  <c r="H110" i="3"/>
  <c r="I110" i="3" s="1"/>
  <c r="M109" i="3"/>
  <c r="H109" i="3"/>
  <c r="H108" i="3"/>
  <c r="I108" i="3" s="1"/>
  <c r="H107" i="3"/>
  <c r="I107" i="3" s="1"/>
  <c r="H106" i="3"/>
  <c r="I106" i="3" s="1"/>
  <c r="H105" i="3"/>
  <c r="I105" i="3" s="1"/>
  <c r="H104" i="3"/>
  <c r="I104" i="3" s="1"/>
  <c r="H103" i="3"/>
  <c r="I103" i="3" s="1"/>
  <c r="H102" i="3"/>
  <c r="H101" i="3"/>
  <c r="H100" i="3"/>
  <c r="H99" i="3"/>
  <c r="H98" i="3"/>
  <c r="H97" i="3"/>
  <c r="H96" i="3"/>
  <c r="H95" i="3"/>
  <c r="H94" i="3"/>
  <c r="M108" i="3"/>
  <c r="M107" i="3"/>
  <c r="M106" i="3"/>
  <c r="M105" i="3"/>
  <c r="M104" i="3"/>
  <c r="M103" i="3"/>
  <c r="I109" i="3" l="1"/>
  <c r="M102" i="3"/>
  <c r="I102" i="3"/>
  <c r="M101" i="3"/>
  <c r="I101" i="3"/>
  <c r="M100" i="3"/>
  <c r="I100" i="3"/>
  <c r="M99" i="3" l="1"/>
  <c r="I99" i="3"/>
  <c r="M98" i="3"/>
  <c r="I98" i="3"/>
  <c r="M97" i="3"/>
  <c r="I97" i="3"/>
  <c r="M94" i="3"/>
  <c r="M95" i="3"/>
  <c r="M96" i="3"/>
  <c r="I94" i="3"/>
  <c r="I95" i="3"/>
  <c r="I96" i="3"/>
  <c r="L63" i="3" l="1"/>
  <c r="S60" i="3"/>
  <c r="L60" i="3"/>
  <c r="K60" i="3"/>
  <c r="E60" i="3"/>
  <c r="F60" i="3"/>
  <c r="D60" i="3"/>
  <c r="C60" i="3"/>
  <c r="M191" i="3"/>
  <c r="H191" i="3"/>
  <c r="I191" i="3" s="1"/>
  <c r="M190" i="3"/>
  <c r="H190" i="3"/>
  <c r="I190" i="3" s="1"/>
  <c r="M189" i="3"/>
  <c r="H189" i="3"/>
  <c r="I189" i="3" s="1"/>
  <c r="M182" i="3"/>
  <c r="H182" i="3"/>
  <c r="I182" i="3" s="1"/>
  <c r="M181" i="3"/>
  <c r="H181" i="3"/>
  <c r="I181" i="3" s="1"/>
  <c r="M180" i="3"/>
  <c r="H180" i="3"/>
  <c r="I180" i="3" s="1"/>
  <c r="M177" i="3"/>
  <c r="M178" i="3"/>
  <c r="M179" i="3"/>
  <c r="H177" i="3"/>
  <c r="I177" i="3" s="1"/>
  <c r="H178" i="3"/>
  <c r="I178" i="3" s="1"/>
  <c r="H179" i="3"/>
  <c r="I179" i="3" s="1"/>
  <c r="M186" i="3" l="1"/>
  <c r="M187" i="3"/>
  <c r="M188" i="3"/>
  <c r="H186" i="3"/>
  <c r="I186" i="3" s="1"/>
  <c r="H187" i="3"/>
  <c r="I187" i="3" s="1"/>
  <c r="H188" i="3"/>
  <c r="I188" i="3" s="1"/>
  <c r="M183" i="3"/>
  <c r="M184" i="3"/>
  <c r="M185" i="3"/>
  <c r="H183" i="3"/>
  <c r="I183" i="3" s="1"/>
  <c r="H184" i="3"/>
  <c r="I184" i="3" s="1"/>
  <c r="H185" i="3"/>
  <c r="I185" i="3" s="1"/>
  <c r="M193" i="3"/>
  <c r="M194" i="3"/>
  <c r="H194" i="3"/>
  <c r="I194" i="3" s="1"/>
  <c r="H193" i="3"/>
  <c r="I193" i="3" s="1"/>
  <c r="H192" i="3"/>
  <c r="I192" i="3" s="1"/>
  <c r="M192" i="3"/>
  <c r="Z68" i="3"/>
  <c r="AB68" i="3" s="1"/>
  <c r="Z67" i="3"/>
  <c r="AB67" i="3" s="1"/>
  <c r="Y68" i="3"/>
  <c r="Y67" i="3"/>
  <c r="X68" i="3"/>
  <c r="X67" i="3"/>
  <c r="W68" i="3"/>
  <c r="W67" i="3"/>
  <c r="V68" i="3"/>
  <c r="V67" i="3"/>
  <c r="U68" i="3"/>
  <c r="U67" i="3"/>
  <c r="S68" i="3"/>
  <c r="S67" i="3"/>
  <c r="R68" i="3"/>
  <c r="R67" i="3"/>
  <c r="L68" i="3"/>
  <c r="L67" i="3"/>
  <c r="K68" i="3"/>
  <c r="K67" i="3"/>
  <c r="F68" i="3"/>
  <c r="F67" i="3"/>
  <c r="E68" i="3"/>
  <c r="E67" i="3"/>
  <c r="D68" i="3"/>
  <c r="D67" i="3"/>
  <c r="M66" i="3"/>
  <c r="H66" i="3"/>
  <c r="I66" i="3" s="1"/>
  <c r="M65" i="3"/>
  <c r="H65" i="3"/>
  <c r="I65" i="3" s="1"/>
  <c r="M64" i="3"/>
  <c r="P22" i="9" s="1"/>
  <c r="H64" i="3"/>
  <c r="M63" i="3"/>
  <c r="H63" i="3"/>
  <c r="I63" i="3" s="1"/>
  <c r="M62" i="3"/>
  <c r="H62" i="3"/>
  <c r="M61" i="3"/>
  <c r="H61" i="3"/>
  <c r="H58" i="3"/>
  <c r="H59" i="3"/>
  <c r="H60" i="3"/>
  <c r="I62" i="3" l="1"/>
  <c r="I64" i="3"/>
  <c r="J22" i="9"/>
  <c r="J5" i="9"/>
  <c r="J4" i="9"/>
  <c r="J21" i="5"/>
  <c r="J20" i="5"/>
  <c r="I61" i="3"/>
  <c r="H68" i="3"/>
  <c r="I68" i="3" s="1"/>
  <c r="M68" i="3"/>
  <c r="M67" i="3"/>
  <c r="H67" i="3"/>
  <c r="I67" i="3" s="1"/>
  <c r="K21" i="5" l="1"/>
  <c r="K22" i="9"/>
  <c r="I59" i="3"/>
  <c r="M59" i="3"/>
  <c r="I60" i="3"/>
  <c r="M60" i="3"/>
  <c r="M58" i="3"/>
  <c r="I58" i="3"/>
  <c r="M176" i="3"/>
  <c r="H176" i="3"/>
  <c r="I176" i="3" s="1"/>
  <c r="M175" i="3"/>
  <c r="H175" i="3"/>
  <c r="I175" i="3" s="1"/>
  <c r="M174" i="3"/>
  <c r="H174" i="3"/>
  <c r="I174" i="3" s="1"/>
  <c r="M171" i="3"/>
  <c r="M172" i="3"/>
  <c r="M173" i="3"/>
  <c r="H171" i="3"/>
  <c r="I171" i="3" s="1"/>
  <c r="H172" i="3"/>
  <c r="I172" i="3" s="1"/>
  <c r="H173" i="3"/>
  <c r="I173" i="3" s="1"/>
  <c r="H168" i="3"/>
  <c r="H169" i="3"/>
  <c r="H170" i="3"/>
  <c r="J30" i="5" l="1"/>
  <c r="J22" i="5"/>
  <c r="K4" i="9"/>
  <c r="K5" i="9"/>
  <c r="P5" i="9"/>
  <c r="P4" i="9"/>
  <c r="W158" i="3"/>
  <c r="V158" i="3"/>
  <c r="U158" i="3"/>
  <c r="S158" i="3"/>
  <c r="R158" i="3"/>
  <c r="K158" i="3"/>
  <c r="H158" i="3"/>
  <c r="F158" i="3"/>
  <c r="E158" i="3"/>
  <c r="D158" i="3"/>
  <c r="C158" i="3"/>
  <c r="Z156" i="3"/>
  <c r="AB156" i="3" s="1"/>
  <c r="Y156" i="3"/>
  <c r="X156" i="3"/>
  <c r="W156" i="3"/>
  <c r="V156" i="3"/>
  <c r="U156" i="3"/>
  <c r="S156" i="3"/>
  <c r="R156" i="3"/>
  <c r="L156" i="3"/>
  <c r="K156" i="3"/>
  <c r="H156" i="3"/>
  <c r="F156" i="3"/>
  <c r="E156" i="3"/>
  <c r="D156" i="3"/>
  <c r="C156" i="3"/>
  <c r="M154" i="3"/>
  <c r="M155" i="3"/>
  <c r="M157" i="3"/>
  <c r="I154" i="3"/>
  <c r="I155" i="3"/>
  <c r="I157" i="3"/>
  <c r="M153" i="3"/>
  <c r="I153" i="3"/>
  <c r="I160" i="3"/>
  <c r="M160" i="3"/>
  <c r="I161" i="3"/>
  <c r="M161" i="3"/>
  <c r="M159" i="3"/>
  <c r="I159" i="3"/>
  <c r="U122" i="3"/>
  <c r="S122" i="3"/>
  <c r="R122" i="3"/>
  <c r="L122" i="3"/>
  <c r="K122" i="3"/>
  <c r="F122" i="3"/>
  <c r="E122" i="3"/>
  <c r="C122" i="3"/>
  <c r="D122" i="3"/>
  <c r="U121" i="3"/>
  <c r="S121" i="3"/>
  <c r="R121" i="3"/>
  <c r="L121" i="3"/>
  <c r="K121" i="3"/>
  <c r="F121" i="3"/>
  <c r="E121" i="3"/>
  <c r="D121" i="3"/>
  <c r="C121" i="3"/>
  <c r="U120" i="3"/>
  <c r="S120" i="3"/>
  <c r="R120" i="3"/>
  <c r="L120" i="3"/>
  <c r="K120" i="3"/>
  <c r="F120" i="3"/>
  <c r="E120" i="3"/>
  <c r="D120" i="3"/>
  <c r="C120" i="3"/>
  <c r="Z150" i="3"/>
  <c r="AB150" i="3" s="1"/>
  <c r="Y150" i="3"/>
  <c r="X150" i="3"/>
  <c r="W150" i="3"/>
  <c r="V150" i="3"/>
  <c r="U150" i="3"/>
  <c r="S150" i="3"/>
  <c r="R150" i="3"/>
  <c r="L150" i="3"/>
  <c r="K150" i="3"/>
  <c r="H150" i="3"/>
  <c r="F150" i="3"/>
  <c r="E150" i="3"/>
  <c r="D150" i="3"/>
  <c r="Z149" i="3"/>
  <c r="AB149" i="3" s="1"/>
  <c r="Y149" i="3"/>
  <c r="X149" i="3"/>
  <c r="W149" i="3"/>
  <c r="V149" i="3"/>
  <c r="U149" i="3"/>
  <c r="S149" i="3"/>
  <c r="R149" i="3"/>
  <c r="L149" i="3"/>
  <c r="K149" i="3"/>
  <c r="H149" i="3"/>
  <c r="F149" i="3"/>
  <c r="E149" i="3"/>
  <c r="D149" i="3"/>
  <c r="Z148" i="3"/>
  <c r="AB148" i="3" s="1"/>
  <c r="Y148" i="3"/>
  <c r="X148" i="3"/>
  <c r="W148" i="3"/>
  <c r="V148" i="3"/>
  <c r="U148" i="3"/>
  <c r="S148" i="3"/>
  <c r="R148" i="3"/>
  <c r="L148" i="3"/>
  <c r="K148" i="3"/>
  <c r="H148" i="3"/>
  <c r="F148" i="3"/>
  <c r="E148" i="3"/>
  <c r="M148" i="3" l="1"/>
  <c r="I156" i="3"/>
  <c r="M158" i="3"/>
  <c r="I158" i="3"/>
  <c r="M156" i="3"/>
  <c r="I148" i="3"/>
  <c r="I150" i="3"/>
  <c r="M150" i="3"/>
  <c r="M121" i="3"/>
  <c r="M122" i="3"/>
  <c r="H122" i="3"/>
  <c r="I122" i="3" s="1"/>
  <c r="H121" i="3"/>
  <c r="I121" i="3" s="1"/>
  <c r="M149" i="3"/>
  <c r="I149" i="3"/>
  <c r="D148" i="3"/>
  <c r="C150" i="3"/>
  <c r="C149" i="3"/>
  <c r="C148" i="3"/>
  <c r="M147" i="3"/>
  <c r="I147" i="3"/>
  <c r="M146" i="3"/>
  <c r="I146" i="3"/>
  <c r="M145" i="3"/>
  <c r="I145" i="3"/>
  <c r="Z135" i="3"/>
  <c r="Y135" i="3"/>
  <c r="Y134" i="3" s="1"/>
  <c r="X135" i="3"/>
  <c r="X134" i="3" s="1"/>
  <c r="W135" i="3"/>
  <c r="W134" i="3" s="1"/>
  <c r="V135" i="3"/>
  <c r="V134" i="3" s="1"/>
  <c r="U135" i="3"/>
  <c r="S135" i="3"/>
  <c r="R135" i="3"/>
  <c r="L135" i="3"/>
  <c r="K135" i="3"/>
  <c r="H135" i="3"/>
  <c r="F135" i="3"/>
  <c r="E135" i="3"/>
  <c r="D135" i="3"/>
  <c r="C135" i="3"/>
  <c r="U134" i="3"/>
  <c r="S134" i="3"/>
  <c r="R134" i="3"/>
  <c r="L134" i="3"/>
  <c r="K134" i="3"/>
  <c r="H134" i="3"/>
  <c r="F134" i="3"/>
  <c r="E134" i="3"/>
  <c r="D134" i="3"/>
  <c r="C134" i="3"/>
  <c r="M133" i="3"/>
  <c r="I133" i="3"/>
  <c r="C127" i="3"/>
  <c r="C129" i="3"/>
  <c r="I130" i="3"/>
  <c r="M130" i="3"/>
  <c r="I131" i="3"/>
  <c r="M131" i="3"/>
  <c r="I132" i="3"/>
  <c r="M132" i="3"/>
  <c r="U129" i="3"/>
  <c r="S129" i="3"/>
  <c r="R129" i="3"/>
  <c r="P129" i="3"/>
  <c r="Q129" i="3" s="1"/>
  <c r="L129" i="3"/>
  <c r="K129" i="3"/>
  <c r="H129" i="3"/>
  <c r="F129" i="3"/>
  <c r="E129" i="3"/>
  <c r="D129" i="3"/>
  <c r="C128" i="3"/>
  <c r="U128" i="3"/>
  <c r="S128" i="3"/>
  <c r="R128" i="3"/>
  <c r="P128" i="3"/>
  <c r="Q128" i="3" s="1"/>
  <c r="L128" i="3"/>
  <c r="K128" i="3"/>
  <c r="H128" i="3"/>
  <c r="F128" i="3"/>
  <c r="E128" i="3"/>
  <c r="D128" i="3"/>
  <c r="U127" i="3"/>
  <c r="S127" i="3"/>
  <c r="R127" i="3"/>
  <c r="P127" i="3"/>
  <c r="Q127" i="3" s="1"/>
  <c r="L127" i="3"/>
  <c r="K127" i="3"/>
  <c r="H127" i="3"/>
  <c r="F127" i="3"/>
  <c r="E127" i="3"/>
  <c r="D127" i="3"/>
  <c r="M126" i="3"/>
  <c r="I126" i="3"/>
  <c r="I125" i="3"/>
  <c r="M125" i="3"/>
  <c r="AD125" i="3" l="1"/>
  <c r="AD126" i="3"/>
  <c r="Z134" i="3"/>
  <c r="AB134" i="3" s="1"/>
  <c r="AB135" i="3"/>
  <c r="I134" i="3"/>
  <c r="I135" i="3"/>
  <c r="M135" i="3"/>
  <c r="M127" i="3"/>
  <c r="I127" i="3"/>
  <c r="M128" i="3"/>
  <c r="M134" i="3"/>
  <c r="I128" i="3"/>
  <c r="I143" i="3" l="1"/>
  <c r="M143" i="3"/>
  <c r="I144" i="3"/>
  <c r="M144" i="3"/>
  <c r="I115" i="3"/>
  <c r="M115" i="3"/>
  <c r="I90" i="3"/>
  <c r="M90" i="3"/>
  <c r="I91" i="3"/>
  <c r="M91" i="3"/>
  <c r="I93" i="3"/>
  <c r="M93" i="3"/>
  <c r="K20" i="5" l="1"/>
  <c r="B36" i="3"/>
  <c r="B37" i="3"/>
  <c r="B9" i="9" l="1"/>
  <c r="D29" i="5"/>
  <c r="D28" i="5"/>
  <c r="AC36" i="3"/>
  <c r="AP3" i="9"/>
  <c r="AQ3" i="9"/>
  <c r="AR3" i="9"/>
  <c r="AS3" i="9"/>
  <c r="AT3" i="9"/>
  <c r="AU3" i="9"/>
  <c r="AV3" i="9"/>
  <c r="AW3" i="9"/>
  <c r="U28" i="5" l="1"/>
  <c r="U29" i="5"/>
  <c r="T11" i="6"/>
  <c r="O15" i="6"/>
  <c r="P15" i="6"/>
  <c r="Q15" i="6"/>
  <c r="R15" i="6"/>
  <c r="S15" i="6"/>
  <c r="T15" i="6"/>
  <c r="T6" i="6" s="1"/>
  <c r="N15" i="6"/>
  <c r="F14" i="6"/>
  <c r="O14" i="6" s="1"/>
  <c r="AA45" i="5" s="1"/>
  <c r="G14" i="6"/>
  <c r="P14" i="6" s="1"/>
  <c r="AB45" i="5" s="1"/>
  <c r="H14" i="6"/>
  <c r="Q14" i="6" s="1"/>
  <c r="AC45" i="5" s="1"/>
  <c r="I14" i="6"/>
  <c r="R14" i="6" s="1"/>
  <c r="AD45" i="5" s="1"/>
  <c r="J14" i="6"/>
  <c r="S14" i="6" s="1"/>
  <c r="K14" i="6"/>
  <c r="T14" i="6" s="1"/>
  <c r="T5" i="6" s="1"/>
  <c r="E14" i="6"/>
  <c r="T39" i="6"/>
  <c r="AC2" i="9"/>
  <c r="AF46" i="5" l="1"/>
  <c r="S36" i="6"/>
  <c r="AO70" i="9"/>
  <c r="AY35" i="9" s="1"/>
  <c r="T36" i="6"/>
  <c r="Q36" i="6"/>
  <c r="O36" i="6"/>
  <c r="AE45" i="5"/>
  <c r="R36" i="6"/>
  <c r="P36" i="6"/>
  <c r="AF45" i="5"/>
  <c r="I92" i="3" l="1"/>
  <c r="AO50" i="9" l="1"/>
  <c r="AP2" i="9"/>
  <c r="AD2" i="9"/>
  <c r="AO71" i="9" s="1"/>
  <c r="AC44" i="3" l="1"/>
  <c r="AC37" i="3"/>
  <c r="AC39" i="3"/>
  <c r="AC41" i="3"/>
  <c r="AC43" i="3"/>
  <c r="AC38" i="3"/>
  <c r="AC40" i="3"/>
  <c r="AC42" i="3"/>
  <c r="AX3" i="9"/>
  <c r="U37" i="5" l="1"/>
  <c r="C31" i="7"/>
  <c r="C47" i="7"/>
  <c r="C49" i="7"/>
  <c r="C45" i="7"/>
  <c r="C43" i="7"/>
  <c r="C41" i="7"/>
  <c r="C39" i="7"/>
  <c r="C37" i="7"/>
  <c r="C35" i="7"/>
  <c r="C33" i="7"/>
  <c r="C29" i="7"/>
  <c r="C27" i="7"/>
  <c r="C25" i="7"/>
  <c r="C21" i="7"/>
  <c r="C23" i="7"/>
  <c r="A21" i="7"/>
  <c r="J21" i="7" s="1"/>
  <c r="B21" i="7" l="1"/>
  <c r="C30" i="7"/>
  <c r="C44" i="7"/>
  <c r="C40" i="7"/>
  <c r="C22" i="7"/>
  <c r="C36" i="7"/>
  <c r="C38" i="7"/>
  <c r="C42" i="7"/>
  <c r="C46" i="7"/>
  <c r="C26" i="7"/>
  <c r="C48" i="7"/>
  <c r="C34" i="7"/>
  <c r="C32" i="7"/>
  <c r="C28" i="7"/>
  <c r="C24" i="7"/>
  <c r="A22" i="7"/>
  <c r="B22" i="7" l="1"/>
  <c r="A23" i="7"/>
  <c r="A24" i="7" l="1"/>
  <c r="B23" i="7"/>
  <c r="A25" i="7" l="1"/>
  <c r="B24" i="7"/>
  <c r="A26" i="7" l="1"/>
  <c r="B25" i="7"/>
  <c r="AQ24" i="9"/>
  <c r="AR24" i="9"/>
  <c r="AS24" i="9"/>
  <c r="AT24" i="9"/>
  <c r="AU24" i="9"/>
  <c r="AV24" i="9"/>
  <c r="AW24" i="9"/>
  <c r="AX24" i="9"/>
  <c r="A27" i="7" l="1"/>
  <c r="B26" i="7"/>
  <c r="A28" i="7" l="1"/>
  <c r="J28" i="7" s="1"/>
  <c r="B27" i="7"/>
  <c r="J27" i="7"/>
  <c r="J26" i="7"/>
  <c r="D26" i="7" s="1"/>
  <c r="J25" i="7"/>
  <c r="D25" i="7" s="1"/>
  <c r="J24" i="7"/>
  <c r="D24" i="7" s="1"/>
  <c r="J23" i="7"/>
  <c r="D23" i="7" s="1"/>
  <c r="J22" i="7"/>
  <c r="D22" i="7" s="1"/>
  <c r="D21" i="7"/>
  <c r="D27" i="7" l="1"/>
  <c r="A29" i="7"/>
  <c r="B28" i="7"/>
  <c r="D28" i="7" s="1"/>
  <c r="A30" i="7" l="1"/>
  <c r="B29" i="7"/>
  <c r="J29" i="7"/>
  <c r="D29" i="7" l="1"/>
  <c r="A31" i="7"/>
  <c r="B30" i="7"/>
  <c r="J30" i="7"/>
  <c r="AJ36" i="3"/>
  <c r="AI37" i="3"/>
  <c r="AJ37" i="3"/>
  <c r="AH38" i="3"/>
  <c r="AI38" i="3"/>
  <c r="AJ38" i="3"/>
  <c r="AG39" i="3"/>
  <c r="AH39" i="3"/>
  <c r="AI39" i="3"/>
  <c r="AJ39" i="3"/>
  <c r="AF40" i="3"/>
  <c r="AG40" i="3"/>
  <c r="AH40" i="3"/>
  <c r="AI40" i="3"/>
  <c r="AJ40" i="3"/>
  <c r="AE41" i="3"/>
  <c r="AF41" i="3"/>
  <c r="AG41" i="3"/>
  <c r="AH41" i="3"/>
  <c r="AI41" i="3"/>
  <c r="AJ41" i="3"/>
  <c r="AD42" i="3"/>
  <c r="AE42" i="3"/>
  <c r="AF42" i="3"/>
  <c r="AG42" i="3"/>
  <c r="AH42" i="3"/>
  <c r="AI42" i="3"/>
  <c r="AJ42" i="3"/>
  <c r="AD43" i="3"/>
  <c r="AE43" i="3"/>
  <c r="AF43" i="3"/>
  <c r="AG43" i="3"/>
  <c r="AH43" i="3"/>
  <c r="AI43" i="3"/>
  <c r="AJ43" i="3"/>
  <c r="AD44" i="3"/>
  <c r="AE44" i="3"/>
  <c r="AF44" i="3"/>
  <c r="AG44" i="3"/>
  <c r="AH44" i="3"/>
  <c r="AI44" i="3"/>
  <c r="AJ44" i="3"/>
  <c r="AA2" i="9"/>
  <c r="AO68" i="9" s="1"/>
  <c r="C48" i="4"/>
  <c r="C49" i="4" l="1"/>
  <c r="D30" i="7"/>
  <c r="A32" i="7"/>
  <c r="J31" i="7"/>
  <c r="B31" i="7"/>
  <c r="AF13" i="5"/>
  <c r="AH46" i="5"/>
  <c r="AG46" i="5"/>
  <c r="G6" i="6"/>
  <c r="I18" i="5"/>
  <c r="Y18" i="5" s="1"/>
  <c r="M12" i="5"/>
  <c r="S39" i="6"/>
  <c r="D31" i="7" l="1"/>
  <c r="A33" i="7"/>
  <c r="J32" i="7"/>
  <c r="B32" i="7"/>
  <c r="R6" i="6"/>
  <c r="R5" i="6"/>
  <c r="Z237" i="3"/>
  <c r="Z235" i="3"/>
  <c r="Z234" i="3"/>
  <c r="Z233" i="3"/>
  <c r="Z225" i="3"/>
  <c r="AA7" i="9" s="1"/>
  <c r="Z218" i="3"/>
  <c r="Z212" i="3"/>
  <c r="Z207" i="3"/>
  <c r="Z205" i="3"/>
  <c r="Z162" i="3"/>
  <c r="Z152" i="3"/>
  <c r="Z80" i="3"/>
  <c r="Z73" i="3"/>
  <c r="Z70" i="3"/>
  <c r="Z57" i="3"/>
  <c r="AA8" i="9" s="1"/>
  <c r="D32" i="7" l="1"/>
  <c r="A34" i="7"/>
  <c r="B33" i="7"/>
  <c r="J33" i="7"/>
  <c r="D33" i="7" l="1"/>
  <c r="A35" i="7"/>
  <c r="J34" i="7"/>
  <c r="B34" i="7"/>
  <c r="W10" i="5"/>
  <c r="R18" i="5"/>
  <c r="AI18" i="5" s="1"/>
  <c r="AH18" i="5"/>
  <c r="AC10" i="5"/>
  <c r="AG10" i="5" l="1"/>
  <c r="D34" i="7"/>
  <c r="A36" i="7"/>
  <c r="J35" i="7"/>
  <c r="B35" i="7"/>
  <c r="AT89" i="10"/>
  <c r="AU89" i="10"/>
  <c r="AT76" i="10"/>
  <c r="AU76" i="10"/>
  <c r="AT62" i="10"/>
  <c r="AU62" i="10"/>
  <c r="AT47" i="10"/>
  <c r="AU47" i="10"/>
  <c r="AS99" i="10"/>
  <c r="AL99" i="10"/>
  <c r="AS98" i="10"/>
  <c r="AL98" i="10"/>
  <c r="AS97" i="10"/>
  <c r="AL97" i="10"/>
  <c r="AS96" i="10"/>
  <c r="AL96" i="10"/>
  <c r="AS95" i="10"/>
  <c r="AL95" i="10"/>
  <c r="AS94" i="10"/>
  <c r="AL94" i="10"/>
  <c r="AS93" i="10"/>
  <c r="AL93" i="10"/>
  <c r="AS92" i="10"/>
  <c r="AL92" i="10"/>
  <c r="AS91" i="10"/>
  <c r="AL91" i="10"/>
  <c r="AS90" i="10"/>
  <c r="AL90" i="10"/>
  <c r="AY89" i="10"/>
  <c r="AX89" i="10"/>
  <c r="AW89" i="10"/>
  <c r="AV89" i="10"/>
  <c r="AS86" i="10"/>
  <c r="AL86" i="10"/>
  <c r="AS85" i="10"/>
  <c r="AL85" i="10"/>
  <c r="AS84" i="10"/>
  <c r="AL84" i="10"/>
  <c r="AS83" i="10"/>
  <c r="AL83" i="10"/>
  <c r="AS82" i="10"/>
  <c r="AL82" i="10"/>
  <c r="AS81" i="10"/>
  <c r="AL81" i="10"/>
  <c r="AS80" i="10"/>
  <c r="AL80" i="10"/>
  <c r="AS79" i="10"/>
  <c r="AL79" i="10"/>
  <c r="AS78" i="10"/>
  <c r="AL78" i="10"/>
  <c r="AS77" i="10"/>
  <c r="AL77" i="10"/>
  <c r="AY76" i="10"/>
  <c r="AX76" i="10"/>
  <c r="AW76" i="10"/>
  <c r="AV76" i="10"/>
  <c r="AS72" i="10"/>
  <c r="AL72" i="10"/>
  <c r="AS71" i="10"/>
  <c r="AL71" i="10"/>
  <c r="AS70" i="10"/>
  <c r="AL70" i="10"/>
  <c r="AS69" i="10"/>
  <c r="AL69" i="10"/>
  <c r="AS68" i="10"/>
  <c r="AL68" i="10"/>
  <c r="AS67" i="10"/>
  <c r="AL67" i="10"/>
  <c r="AS66" i="10"/>
  <c r="AL66" i="10"/>
  <c r="AS65" i="10"/>
  <c r="AL65" i="10"/>
  <c r="AS64" i="10"/>
  <c r="AL64" i="10"/>
  <c r="AS63" i="10"/>
  <c r="AL63" i="10"/>
  <c r="AY62" i="10"/>
  <c r="AX62" i="10"/>
  <c r="AW62" i="10"/>
  <c r="AV62" i="10"/>
  <c r="AS49" i="10"/>
  <c r="AS50" i="10"/>
  <c r="AS51" i="10"/>
  <c r="AS52" i="10"/>
  <c r="AS53" i="10"/>
  <c r="AS54" i="10"/>
  <c r="AS55" i="10"/>
  <c r="AS56" i="10"/>
  <c r="AS57" i="10"/>
  <c r="AS48" i="10"/>
  <c r="AW47" i="10"/>
  <c r="AX47" i="10"/>
  <c r="AY47" i="10"/>
  <c r="AV47" i="10"/>
  <c r="AL49" i="10"/>
  <c r="AL50" i="10"/>
  <c r="AL51" i="10"/>
  <c r="AL52" i="10"/>
  <c r="AL53" i="10"/>
  <c r="AL54" i="10"/>
  <c r="AL55" i="10"/>
  <c r="AL56" i="10"/>
  <c r="AL57" i="10"/>
  <c r="AL48" i="10"/>
  <c r="D35" i="7" l="1"/>
  <c r="A37" i="7"/>
  <c r="B36" i="7"/>
  <c r="J36" i="7"/>
  <c r="V23" i="10"/>
  <c r="W23" i="10"/>
  <c r="D36" i="7" l="1"/>
  <c r="A38" i="7"/>
  <c r="B37" i="7"/>
  <c r="J37" i="7"/>
  <c r="AL30" i="10"/>
  <c r="AJ43" i="10"/>
  <c r="AM43" i="10" s="1"/>
  <c r="AJ42" i="10"/>
  <c r="AM42" i="10" s="1"/>
  <c r="AJ41" i="10"/>
  <c r="AM41" i="10" s="1"/>
  <c r="AJ40" i="10"/>
  <c r="AM40" i="10" s="1"/>
  <c r="AJ39" i="10"/>
  <c r="AM39" i="10" s="1"/>
  <c r="AJ38" i="10"/>
  <c r="AM38" i="10" s="1"/>
  <c r="AJ37" i="10"/>
  <c r="AM37" i="10" s="1"/>
  <c r="AJ36" i="10"/>
  <c r="AM36" i="10" s="1"/>
  <c r="AJ35" i="10"/>
  <c r="AM35" i="10" s="1"/>
  <c r="AK30" i="10"/>
  <c r="AO30" i="10" s="1"/>
  <c r="AZ34" i="10"/>
  <c r="AY34" i="10"/>
  <c r="AX34" i="10"/>
  <c r="AW34" i="10"/>
  <c r="AV34" i="10"/>
  <c r="AU34" i="10"/>
  <c r="D37" i="7" l="1"/>
  <c r="A39" i="7"/>
  <c r="J38" i="7"/>
  <c r="B38" i="7"/>
  <c r="AP35" i="10"/>
  <c r="AS35" i="10" s="1"/>
  <c r="AT35" i="10" s="1"/>
  <c r="AP36" i="10"/>
  <c r="AP37" i="10"/>
  <c r="AP38" i="10"/>
  <c r="AP39" i="10"/>
  <c r="AP40" i="10"/>
  <c r="AP41" i="10"/>
  <c r="AP42" i="10"/>
  <c r="AP43" i="10"/>
  <c r="AS43" i="10" s="1"/>
  <c r="AM30" i="10"/>
  <c r="AN30" i="10"/>
  <c r="AP30" i="10"/>
  <c r="AQ30" i="10"/>
  <c r="AK43" i="10"/>
  <c r="AK42" i="10"/>
  <c r="AK41" i="10"/>
  <c r="AK40" i="10"/>
  <c r="AK39" i="10"/>
  <c r="AK38" i="10"/>
  <c r="AK37" i="10"/>
  <c r="AK36" i="10"/>
  <c r="AK35" i="10"/>
  <c r="AR33" i="10"/>
  <c r="AQ33" i="10"/>
  <c r="AP33" i="10"/>
  <c r="AO33" i="10"/>
  <c r="AN33" i="10"/>
  <c r="AM33" i="10"/>
  <c r="AL33" i="10"/>
  <c r="D38" i="7" l="1"/>
  <c r="A40" i="7"/>
  <c r="B39" i="7"/>
  <c r="J39" i="7"/>
  <c r="AS36" i="10"/>
  <c r="AT36" i="10" s="1"/>
  <c r="AS40" i="10"/>
  <c r="AT40" i="10" s="1"/>
  <c r="AS37" i="10"/>
  <c r="AT37" i="10" s="1"/>
  <c r="AS41" i="10"/>
  <c r="AT41" i="10" s="1"/>
  <c r="AS38" i="10"/>
  <c r="AT38" i="10" s="1"/>
  <c r="AS42" i="10"/>
  <c r="AT42" i="10" s="1"/>
  <c r="AS39" i="10"/>
  <c r="AT39" i="10" s="1"/>
  <c r="AS30" i="10"/>
  <c r="AT30" i="10" s="1"/>
  <c r="AF12" i="5"/>
  <c r="AD14" i="5"/>
  <c r="AD13" i="5"/>
  <c r="AD12" i="5"/>
  <c r="D39" i="7" l="1"/>
  <c r="A41" i="7"/>
  <c r="B40" i="7"/>
  <c r="J40" i="7"/>
  <c r="R23" i="10"/>
  <c r="AP23" i="10"/>
  <c r="AO23" i="10"/>
  <c r="AN23" i="10"/>
  <c r="AM23" i="10"/>
  <c r="AL23" i="10"/>
  <c r="AM6" i="10"/>
  <c r="AN6" i="10"/>
  <c r="AO6" i="10"/>
  <c r="AP6" i="10"/>
  <c r="AL6" i="10"/>
  <c r="D40" i="7" l="1"/>
  <c r="A42" i="7"/>
  <c r="B41" i="7"/>
  <c r="J41" i="7"/>
  <c r="AY24" i="10"/>
  <c r="AX24" i="10"/>
  <c r="AW24" i="10"/>
  <c r="AV24" i="10"/>
  <c r="AU24" i="10"/>
  <c r="AZ7" i="10"/>
  <c r="AU7" i="10"/>
  <c r="AV7" i="10"/>
  <c r="BO7" i="10" s="1"/>
  <c r="BW7" i="10" s="1"/>
  <c r="AW7" i="10"/>
  <c r="AX7" i="10"/>
  <c r="AY7" i="10"/>
  <c r="AJ8" i="10"/>
  <c r="AK8" i="10"/>
  <c r="BM8" i="10"/>
  <c r="BU8" i="10" s="1"/>
  <c r="AJ9" i="10"/>
  <c r="AK9" i="10"/>
  <c r="BM9" i="10"/>
  <c r="BU9" i="10" s="1"/>
  <c r="AJ15" i="10"/>
  <c r="AK15" i="10"/>
  <c r="BM15" i="10"/>
  <c r="BU15" i="10" s="1"/>
  <c r="X23" i="10"/>
  <c r="U20" i="10"/>
  <c r="U5" i="10"/>
  <c r="AF8" i="10"/>
  <c r="AB8" i="10"/>
  <c r="AC8" i="10"/>
  <c r="AD8" i="10"/>
  <c r="AE8" i="10"/>
  <c r="B8" i="10"/>
  <c r="M9" i="10"/>
  <c r="AA8" i="10"/>
  <c r="Y8" i="10"/>
  <c r="Z8" i="10"/>
  <c r="J9" i="10"/>
  <c r="X9" i="10" s="1"/>
  <c r="W8" i="10"/>
  <c r="V8" i="10"/>
  <c r="A1" i="10"/>
  <c r="AX2" i="9"/>
  <c r="D41" i="7" l="1"/>
  <c r="A43" i="7"/>
  <c r="J42" i="7"/>
  <c r="B42" i="7"/>
  <c r="T14" i="10"/>
  <c r="U14" i="10"/>
  <c r="T12" i="10"/>
  <c r="U12" i="10"/>
  <c r="U11" i="10"/>
  <c r="T11" i="10"/>
  <c r="T19" i="10"/>
  <c r="U19" i="10"/>
  <c r="T20" i="10"/>
  <c r="U18" i="10"/>
  <c r="T18" i="10"/>
  <c r="BR7" i="10"/>
  <c r="BR15" i="10" s="1"/>
  <c r="BP7" i="10"/>
  <c r="BX7" i="10" s="1"/>
  <c r="AW15" i="10"/>
  <c r="AW8" i="10"/>
  <c r="AW9" i="10"/>
  <c r="BN7" i="10"/>
  <c r="BN9" i="10" s="1"/>
  <c r="AU15" i="10"/>
  <c r="AU9" i="10"/>
  <c r="AU8" i="10"/>
  <c r="BN24" i="10"/>
  <c r="BV24" i="10" s="1"/>
  <c r="BP24" i="10"/>
  <c r="BX24" i="10" s="1"/>
  <c r="BR24" i="10"/>
  <c r="BZ24" i="10" s="1"/>
  <c r="BQ7" i="10"/>
  <c r="BY7" i="10" s="1"/>
  <c r="AX9" i="10"/>
  <c r="AV9" i="10"/>
  <c r="AV15" i="10"/>
  <c r="AV8" i="10"/>
  <c r="BO24" i="10"/>
  <c r="BW24" i="10" s="1"/>
  <c r="BQ24" i="10"/>
  <c r="BY24" i="10" s="1"/>
  <c r="BS15" i="10"/>
  <c r="BS9" i="10"/>
  <c r="BS8" i="10"/>
  <c r="BO15" i="10"/>
  <c r="BO9" i="10"/>
  <c r="BO8" i="10"/>
  <c r="X8" i="10"/>
  <c r="BQ9" i="10" l="1"/>
  <c r="BQ8" i="10"/>
  <c r="BZ7" i="10"/>
  <c r="AE11" i="10"/>
  <c r="BR9" i="10"/>
  <c r="BQ15" i="10"/>
  <c r="BW8" i="10"/>
  <c r="BR8" i="10"/>
  <c r="BP15" i="10"/>
  <c r="BX15" i="10" s="1"/>
  <c r="BV9" i="10"/>
  <c r="BP8" i="10"/>
  <c r="BX8" i="10" s="1"/>
  <c r="BP9" i="10"/>
  <c r="BX9" i="10" s="1"/>
  <c r="BW15" i="10"/>
  <c r="BN15" i="10"/>
  <c r="BV15" i="10" s="1"/>
  <c r="BN8" i="10"/>
  <c r="BV8" i="10" s="1"/>
  <c r="BV7" i="10"/>
  <c r="D42" i="7"/>
  <c r="A44" i="7"/>
  <c r="B43" i="7"/>
  <c r="J43" i="7"/>
  <c r="U21" i="10"/>
  <c r="BW9" i="10"/>
  <c r="AC11" i="10"/>
  <c r="V11" i="10"/>
  <c r="AD11" i="10"/>
  <c r="AD20" i="10"/>
  <c r="AE20" i="10"/>
  <c r="AC20" i="10"/>
  <c r="AD19" i="10"/>
  <c r="AE19" i="10"/>
  <c r="AC19" i="10"/>
  <c r="V12" i="10"/>
  <c r="V14" i="10"/>
  <c r="V18" i="10"/>
  <c r="BA8" i="10"/>
  <c r="BA15" i="10"/>
  <c r="BA9" i="10"/>
  <c r="BY9" i="10"/>
  <c r="AF21" i="10" l="1"/>
  <c r="AE21" i="10"/>
  <c r="AD21" i="10"/>
  <c r="AC21" i="10"/>
  <c r="AB21" i="10"/>
  <c r="AA21" i="10"/>
  <c r="Z21" i="10"/>
  <c r="Y21" i="10"/>
  <c r="W21" i="10"/>
  <c r="X21" i="10"/>
  <c r="V21" i="10"/>
  <c r="D43" i="7"/>
  <c r="A45" i="7"/>
  <c r="B44" i="7"/>
  <c r="J44" i="7"/>
  <c r="D44" i="7" l="1"/>
  <c r="A46" i="7"/>
  <c r="J45" i="7"/>
  <c r="B45" i="7"/>
  <c r="A50" i="7"/>
  <c r="A42" i="6" s="1"/>
  <c r="A54" i="4" s="1"/>
  <c r="AO40" i="9" s="1"/>
  <c r="D45" i="7" l="1"/>
  <c r="A47" i="7"/>
  <c r="J46" i="7"/>
  <c r="B46" i="7"/>
  <c r="A290" i="3"/>
  <c r="D46" i="7" l="1"/>
  <c r="A48" i="7"/>
  <c r="J47" i="7"/>
  <c r="B47" i="7"/>
  <c r="D47" i="7" l="1"/>
  <c r="A49" i="7"/>
  <c r="B48" i="7"/>
  <c r="J48" i="7"/>
  <c r="D48" i="7" l="1"/>
  <c r="J49" i="7"/>
  <c r="B49" i="7"/>
  <c r="AE222" i="3"/>
  <c r="AQ22" i="9" l="1"/>
  <c r="AS22" i="9"/>
  <c r="AU22" i="9"/>
  <c r="AW22" i="9"/>
  <c r="AT22" i="9"/>
  <c r="AR22" i="9"/>
  <c r="AV22" i="9"/>
  <c r="AX22" i="9"/>
  <c r="D49" i="7"/>
  <c r="W20" i="5" l="1"/>
  <c r="B44" i="3"/>
  <c r="B38" i="3"/>
  <c r="B39" i="3"/>
  <c r="B40" i="3"/>
  <c r="B23" i="9" s="1"/>
  <c r="B41" i="3"/>
  <c r="B42" i="3"/>
  <c r="B43" i="3"/>
  <c r="C38" i="4"/>
  <c r="AP12" i="9"/>
  <c r="AP13" i="9"/>
  <c r="AP14" i="9"/>
  <c r="AP15" i="9"/>
  <c r="AP16" i="9"/>
  <c r="AP17" i="9"/>
  <c r="AP19" i="9"/>
  <c r="AP21" i="9"/>
  <c r="AP22" i="9"/>
  <c r="AP24" i="9"/>
  <c r="AP5" i="9"/>
  <c r="AP8" i="9"/>
  <c r="AO6" i="9"/>
  <c r="Y239" i="3"/>
  <c r="W239" i="3"/>
  <c r="L239" i="3"/>
  <c r="K239" i="3"/>
  <c r="E239" i="3"/>
  <c r="H239" i="3" s="1"/>
  <c r="H238" i="3"/>
  <c r="Y237" i="3"/>
  <c r="X237" i="3"/>
  <c r="W237" i="3"/>
  <c r="V237" i="3"/>
  <c r="U237" i="3"/>
  <c r="S237" i="3"/>
  <c r="AE237" i="3" s="1"/>
  <c r="R237" i="3"/>
  <c r="L237" i="3"/>
  <c r="K237" i="3"/>
  <c r="F237" i="3"/>
  <c r="D237" i="3"/>
  <c r="M236" i="3"/>
  <c r="E236" i="3"/>
  <c r="Y235" i="3"/>
  <c r="X235" i="3"/>
  <c r="W235" i="3"/>
  <c r="V235" i="3"/>
  <c r="L235" i="3"/>
  <c r="M235" i="3" s="1"/>
  <c r="K235" i="3"/>
  <c r="H235" i="3"/>
  <c r="I235" i="3" s="1"/>
  <c r="Y234" i="3"/>
  <c r="V234" i="3"/>
  <c r="L234" i="3"/>
  <c r="K234" i="3"/>
  <c r="H234" i="3"/>
  <c r="I234" i="3" s="1"/>
  <c r="Y233" i="3"/>
  <c r="X233" i="3"/>
  <c r="W233" i="3"/>
  <c r="V233" i="3"/>
  <c r="L233" i="3"/>
  <c r="M233" i="3" s="1"/>
  <c r="K233" i="3"/>
  <c r="H233" i="3"/>
  <c r="I233" i="3" s="1"/>
  <c r="L232" i="3"/>
  <c r="M232" i="3" s="1"/>
  <c r="K232" i="3"/>
  <c r="H232" i="3"/>
  <c r="I232" i="3" s="1"/>
  <c r="H226" i="3"/>
  <c r="I226" i="3" s="1"/>
  <c r="Y225" i="3"/>
  <c r="X225" i="3"/>
  <c r="V225" i="3"/>
  <c r="W7" i="9" s="1"/>
  <c r="M225" i="3"/>
  <c r="H225" i="3"/>
  <c r="M224" i="3"/>
  <c r="I224" i="3"/>
  <c r="M223" i="3"/>
  <c r="I223" i="3"/>
  <c r="L222" i="3"/>
  <c r="K222" i="3"/>
  <c r="H222" i="3"/>
  <c r="I222" i="3" s="1"/>
  <c r="L221" i="3"/>
  <c r="M221" i="3" s="1"/>
  <c r="K221" i="3"/>
  <c r="H221" i="3"/>
  <c r="I221" i="3" s="1"/>
  <c r="L220" i="3"/>
  <c r="M220" i="3" s="1"/>
  <c r="K220" i="3"/>
  <c r="H220" i="3"/>
  <c r="I220" i="3" s="1"/>
  <c r="Y219" i="3"/>
  <c r="M219" i="3"/>
  <c r="E219" i="3"/>
  <c r="Y218" i="3"/>
  <c r="X218" i="3"/>
  <c r="W218" i="3"/>
  <c r="V218" i="3"/>
  <c r="U218" i="3"/>
  <c r="V7" i="9" s="1"/>
  <c r="S218" i="3"/>
  <c r="R218" i="3"/>
  <c r="L218" i="3"/>
  <c r="K218" i="3"/>
  <c r="F218" i="3"/>
  <c r="D218" i="3"/>
  <c r="F7" i="9" s="1"/>
  <c r="L217" i="3"/>
  <c r="M217" i="3" s="1"/>
  <c r="K217" i="3"/>
  <c r="H217" i="3"/>
  <c r="I217" i="3" s="1"/>
  <c r="L216" i="3"/>
  <c r="M216" i="3" s="1"/>
  <c r="K216" i="3"/>
  <c r="H216" i="3"/>
  <c r="I216" i="3" s="1"/>
  <c r="M215" i="3"/>
  <c r="H215" i="3"/>
  <c r="I215" i="3" s="1"/>
  <c r="X214" i="3"/>
  <c r="W214" i="3"/>
  <c r="M214" i="3"/>
  <c r="E214" i="3"/>
  <c r="H214" i="3" s="1"/>
  <c r="I214" i="3" s="1"/>
  <c r="L213" i="3"/>
  <c r="M213" i="3" s="1"/>
  <c r="K213" i="3"/>
  <c r="E213" i="3"/>
  <c r="Y212" i="3"/>
  <c r="L212" i="3"/>
  <c r="M212" i="3" s="1"/>
  <c r="K212" i="3"/>
  <c r="H212" i="3"/>
  <c r="I212" i="3" s="1"/>
  <c r="L211" i="3"/>
  <c r="M211" i="3" s="1"/>
  <c r="K211" i="3"/>
  <c r="H211" i="3"/>
  <c r="I211" i="3" s="1"/>
  <c r="L210" i="3"/>
  <c r="M210" i="3" s="1"/>
  <c r="K210" i="3"/>
  <c r="H210" i="3"/>
  <c r="I210" i="3" s="1"/>
  <c r="L209" i="3"/>
  <c r="M209" i="3" s="1"/>
  <c r="K209" i="3"/>
  <c r="H209" i="3"/>
  <c r="I209" i="3" s="1"/>
  <c r="E208" i="3"/>
  <c r="H208" i="3" s="1"/>
  <c r="I208" i="3" s="1"/>
  <c r="Y207" i="3"/>
  <c r="X207" i="3"/>
  <c r="W207" i="3"/>
  <c r="V207" i="3"/>
  <c r="L207" i="3"/>
  <c r="K207" i="3"/>
  <c r="H207" i="3"/>
  <c r="M206" i="3"/>
  <c r="H206" i="3"/>
  <c r="Y205" i="3"/>
  <c r="X205" i="3"/>
  <c r="W205" i="3"/>
  <c r="V205" i="3"/>
  <c r="U205" i="3"/>
  <c r="V8" i="9" s="1"/>
  <c r="S205" i="3"/>
  <c r="R205" i="3"/>
  <c r="L205" i="3"/>
  <c r="K205" i="3"/>
  <c r="F205" i="3"/>
  <c r="D205" i="3"/>
  <c r="M204" i="3"/>
  <c r="E204" i="3"/>
  <c r="Y203" i="3"/>
  <c r="M203" i="3"/>
  <c r="H203" i="3"/>
  <c r="I203" i="3" s="1"/>
  <c r="E202" i="3"/>
  <c r="D37" i="5" l="1"/>
  <c r="B11" i="9"/>
  <c r="AG20" i="5"/>
  <c r="AF20" i="5"/>
  <c r="Y7" i="9"/>
  <c r="X7" i="9"/>
  <c r="T28" i="5"/>
  <c r="H7" i="9"/>
  <c r="M239" i="3"/>
  <c r="I239" i="3"/>
  <c r="S28" i="5"/>
  <c r="U7" i="9"/>
  <c r="E237" i="3"/>
  <c r="H237" i="3" s="1"/>
  <c r="I237" i="3" s="1"/>
  <c r="Z7" i="9"/>
  <c r="H219" i="3"/>
  <c r="I219" i="3" s="1"/>
  <c r="M7" i="9"/>
  <c r="M222" i="3"/>
  <c r="N7" i="9"/>
  <c r="O7" i="9" s="1"/>
  <c r="E205" i="3"/>
  <c r="H205" i="3" s="1"/>
  <c r="I205" i="3" s="1"/>
  <c r="F8" i="9"/>
  <c r="H8" i="9"/>
  <c r="U8" i="9"/>
  <c r="W8" i="9"/>
  <c r="AI20" i="5"/>
  <c r="AH20" i="5"/>
  <c r="AC20" i="5"/>
  <c r="AJ20" i="5"/>
  <c r="AD20" i="5"/>
  <c r="AK20" i="5"/>
  <c r="AE20" i="5"/>
  <c r="I207" i="3"/>
  <c r="M207" i="3"/>
  <c r="N23" i="5"/>
  <c r="X20" i="5"/>
  <c r="Z20" i="5"/>
  <c r="I206" i="3"/>
  <c r="I225" i="3"/>
  <c r="J38" i="5"/>
  <c r="H236" i="3"/>
  <c r="AC29" i="4"/>
  <c r="E218" i="3"/>
  <c r="G7" i="9" s="1"/>
  <c r="F38" i="5"/>
  <c r="I238" i="3"/>
  <c r="M238" i="3"/>
  <c r="H202" i="3"/>
  <c r="H204" i="3"/>
  <c r="I204" i="3" s="1"/>
  <c r="H213" i="3"/>
  <c r="I213" i="3" s="1"/>
  <c r="M234" i="3"/>
  <c r="M237" i="3"/>
  <c r="M205" i="3"/>
  <c r="M218" i="3"/>
  <c r="P7" i="9" s="1"/>
  <c r="AK29" i="4" l="1"/>
  <c r="E44" i="3" s="1"/>
  <c r="AI29" i="4"/>
  <c r="E42" i="3" s="1"/>
  <c r="AE29" i="4"/>
  <c r="AG29" i="4"/>
  <c r="E40" i="3" s="1"/>
  <c r="G23" i="9" s="1"/>
  <c r="E41" i="3"/>
  <c r="E43" i="3"/>
  <c r="E39" i="3"/>
  <c r="I236" i="3"/>
  <c r="H218" i="3"/>
  <c r="I202" i="3"/>
  <c r="I218" i="3" l="1"/>
  <c r="K7" i="9" s="1"/>
  <c r="J7" i="9"/>
  <c r="BH24" i="9"/>
  <c r="BG24" i="9"/>
  <c r="BF24" i="9"/>
  <c r="BE24" i="9"/>
  <c r="BD24" i="9"/>
  <c r="BC24" i="9"/>
  <c r="BB24" i="9"/>
  <c r="BA24" i="9"/>
  <c r="BH22" i="9"/>
  <c r="BG22" i="9"/>
  <c r="BF22" i="9"/>
  <c r="BE22" i="9"/>
  <c r="BD22" i="9"/>
  <c r="BC22" i="9"/>
  <c r="BB22" i="9"/>
  <c r="BH21" i="9"/>
  <c r="BG21" i="9"/>
  <c r="BF21" i="9"/>
  <c r="BE21" i="9"/>
  <c r="BD21" i="9"/>
  <c r="BC21" i="9"/>
  <c r="BB21" i="9"/>
  <c r="BH19" i="9"/>
  <c r="BG19" i="9"/>
  <c r="BF19" i="9"/>
  <c r="BE19" i="9"/>
  <c r="BD19" i="9"/>
  <c r="BC19" i="9"/>
  <c r="BB19" i="9"/>
  <c r="BH17" i="9"/>
  <c r="BG17" i="9"/>
  <c r="BF17" i="9"/>
  <c r="BE17" i="9"/>
  <c r="BD17" i="9"/>
  <c r="BC17" i="9"/>
  <c r="BB17" i="9"/>
  <c r="BH15" i="9"/>
  <c r="BG15" i="9"/>
  <c r="BF15" i="9"/>
  <c r="BE15" i="9"/>
  <c r="BD15" i="9"/>
  <c r="BC15" i="9"/>
  <c r="BB15" i="9"/>
  <c r="BH14" i="9"/>
  <c r="BG14" i="9"/>
  <c r="BF14" i="9"/>
  <c r="BE14" i="9"/>
  <c r="BD14" i="9"/>
  <c r="BC14" i="9"/>
  <c r="BB14" i="9"/>
  <c r="BH13" i="9"/>
  <c r="BG13" i="9"/>
  <c r="BF13" i="9"/>
  <c r="BE13" i="9"/>
  <c r="BC13" i="9"/>
  <c r="BB13" i="9"/>
  <c r="BH12" i="9"/>
  <c r="BG12" i="9"/>
  <c r="BF12" i="9"/>
  <c r="BE12" i="9"/>
  <c r="BD12" i="9"/>
  <c r="BC12" i="9"/>
  <c r="BB12" i="9"/>
  <c r="BH8" i="9"/>
  <c r="BG8" i="9"/>
  <c r="BF8" i="9"/>
  <c r="BE8" i="9"/>
  <c r="BD8" i="9"/>
  <c r="BC8" i="9"/>
  <c r="BB8" i="9"/>
  <c r="BH5" i="9"/>
  <c r="BG5" i="9"/>
  <c r="BF5" i="9"/>
  <c r="BE5" i="9"/>
  <c r="BD5" i="9"/>
  <c r="BC5" i="9"/>
  <c r="BB5" i="9"/>
  <c r="AQ2" i="9"/>
  <c r="AR2" i="9"/>
  <c r="B48" i="3" s="1"/>
  <c r="AS2" i="9"/>
  <c r="AT2" i="9"/>
  <c r="B50" i="3" s="1"/>
  <c r="AU2" i="9"/>
  <c r="AV2" i="9"/>
  <c r="B52" i="3" s="1"/>
  <c r="AW2" i="9"/>
  <c r="AO24" i="9"/>
  <c r="AZ2" i="9" l="1"/>
  <c r="B46" i="3"/>
  <c r="BE2" i="9"/>
  <c r="B51" i="3"/>
  <c r="BC2" i="9"/>
  <c r="B49" i="3"/>
  <c r="BA2" i="9"/>
  <c r="B47" i="3"/>
  <c r="BH2" i="9"/>
  <c r="B54" i="3"/>
  <c r="BG2" i="9"/>
  <c r="B53" i="3"/>
  <c r="BC16" i="9"/>
  <c r="BE16" i="9"/>
  <c r="BG16" i="9"/>
  <c r="BB16" i="9"/>
  <c r="BD16" i="9"/>
  <c r="BF16" i="9"/>
  <c r="BH16" i="9"/>
  <c r="BF2" i="9"/>
  <c r="BD2" i="9"/>
  <c r="BB2" i="9"/>
  <c r="AZ24" i="9"/>
  <c r="BI24" i="9" s="1"/>
  <c r="AO23" i="9"/>
  <c r="K57" i="3"/>
  <c r="L57" i="3"/>
  <c r="W57" i="3"/>
  <c r="X8" i="9" s="1"/>
  <c r="X57" i="3"/>
  <c r="Y8" i="9" s="1"/>
  <c r="Y57" i="3"/>
  <c r="Z8" i="9" s="1"/>
  <c r="H69" i="3"/>
  <c r="I69" i="3" s="1"/>
  <c r="M69" i="3"/>
  <c r="H70" i="3"/>
  <c r="I70" i="3" s="1"/>
  <c r="M70" i="3"/>
  <c r="V70" i="3"/>
  <c r="W70" i="3"/>
  <c r="X70" i="3"/>
  <c r="Y70" i="3"/>
  <c r="H71" i="3"/>
  <c r="I71" i="3" s="1"/>
  <c r="K71" i="3"/>
  <c r="L71" i="3"/>
  <c r="H72" i="3"/>
  <c r="M72" i="3"/>
  <c r="H73" i="3"/>
  <c r="K73" i="3"/>
  <c r="L73" i="3"/>
  <c r="V73" i="3"/>
  <c r="W73" i="3"/>
  <c r="X73" i="3"/>
  <c r="Y73" i="3"/>
  <c r="H74" i="3"/>
  <c r="I74" i="3" s="1"/>
  <c r="M74" i="3"/>
  <c r="H75" i="3"/>
  <c r="I75" i="3" s="1"/>
  <c r="M75" i="3"/>
  <c r="H76" i="3"/>
  <c r="M76" i="3"/>
  <c r="H78" i="3"/>
  <c r="I78" i="3" s="1"/>
  <c r="M78" i="3"/>
  <c r="H79" i="3"/>
  <c r="I79" i="3" s="1"/>
  <c r="K79" i="3"/>
  <c r="L79" i="3"/>
  <c r="H80" i="3"/>
  <c r="M80" i="3"/>
  <c r="V80" i="3"/>
  <c r="W80" i="3"/>
  <c r="X80" i="3"/>
  <c r="Y80" i="3"/>
  <c r="E57" i="3"/>
  <c r="AG19" i="10" l="1"/>
  <c r="AG12" i="10"/>
  <c r="AG20" i="10"/>
  <c r="AG18" i="10"/>
  <c r="AG11" i="10"/>
  <c r="AG14" i="10"/>
  <c r="AF11" i="10"/>
  <c r="AF19" i="10"/>
  <c r="AF20" i="10"/>
  <c r="M79" i="3"/>
  <c r="M57" i="3"/>
  <c r="H57" i="3"/>
  <c r="M71" i="3"/>
  <c r="AE12" i="10"/>
  <c r="AE14" i="10"/>
  <c r="AE18" i="10"/>
  <c r="AC12" i="10"/>
  <c r="AC14" i="10"/>
  <c r="AC18" i="10"/>
  <c r="I73" i="3"/>
  <c r="W12" i="10"/>
  <c r="W14" i="10"/>
  <c r="AF18" i="10"/>
  <c r="AF12" i="10"/>
  <c r="AF14" i="10"/>
  <c r="AD18" i="10"/>
  <c r="AD12" i="10"/>
  <c r="AD14" i="10"/>
  <c r="M73" i="3"/>
  <c r="I72" i="3"/>
  <c r="I76" i="3"/>
  <c r="I80" i="3"/>
  <c r="AO15" i="9"/>
  <c r="AO14" i="9"/>
  <c r="AO13" i="9"/>
  <c r="AO12" i="9"/>
  <c r="AO11" i="9"/>
  <c r="AO10" i="9"/>
  <c r="AO9" i="9"/>
  <c r="AO8" i="9"/>
  <c r="AO7" i="9"/>
  <c r="AO5" i="9"/>
  <c r="AO22" i="9"/>
  <c r="AO21" i="9"/>
  <c r="AO20" i="9"/>
  <c r="AO19" i="9"/>
  <c r="AO18" i="9"/>
  <c r="AO17" i="9"/>
  <c r="AO16" i="9"/>
  <c r="AB2" i="9"/>
  <c r="AO69" i="9" s="1"/>
  <c r="Z2" i="9"/>
  <c r="AO67" i="9" s="1"/>
  <c r="Y2" i="9"/>
  <c r="AO66" i="9" s="1"/>
  <c r="X2" i="9"/>
  <c r="AO65" i="9" s="1"/>
  <c r="W2" i="9"/>
  <c r="AO64" i="9" s="1"/>
  <c r="AO57" i="9"/>
  <c r="AO55" i="9"/>
  <c r="AO54" i="9"/>
  <c r="AO52" i="9"/>
  <c r="AO51" i="9"/>
  <c r="K2" i="9"/>
  <c r="AO49" i="9" s="1"/>
  <c r="J2" i="9"/>
  <c r="AO48" i="9" s="1"/>
  <c r="I2" i="9"/>
  <c r="AO47" i="9" s="1"/>
  <c r="H2" i="9"/>
  <c r="G2" i="9"/>
  <c r="AO43" i="9" s="1"/>
  <c r="F2" i="9"/>
  <c r="AO42" i="9" s="1"/>
  <c r="E2" i="9"/>
  <c r="AO41" i="9" s="1"/>
  <c r="AG22" i="10" l="1"/>
  <c r="AG24" i="10" s="1"/>
  <c r="AO46" i="9"/>
  <c r="I57" i="3"/>
  <c r="AO58" i="9"/>
  <c r="AO63" i="9"/>
  <c r="AO44" i="9"/>
  <c r="AO45" i="9"/>
  <c r="AZ16" i="9"/>
  <c r="BA17" i="9"/>
  <c r="AZ17" i="9"/>
  <c r="AZ19" i="9"/>
  <c r="BA19" i="9"/>
  <c r="AZ21" i="9"/>
  <c r="BA21" i="9"/>
  <c r="AZ22" i="9"/>
  <c r="AZ5" i="9"/>
  <c r="BA5" i="9"/>
  <c r="BA8" i="9"/>
  <c r="AZ8" i="9"/>
  <c r="AZ12" i="9"/>
  <c r="BA12" i="9"/>
  <c r="AZ13" i="9"/>
  <c r="BA13" i="9"/>
  <c r="AZ14" i="9"/>
  <c r="BA14" i="9"/>
  <c r="BA15" i="9"/>
  <c r="AZ15" i="9"/>
  <c r="Y274" i="3"/>
  <c r="X274" i="3"/>
  <c r="W274" i="3"/>
  <c r="V274" i="3"/>
  <c r="X273" i="3"/>
  <c r="Y273" i="3"/>
  <c r="Y270" i="3"/>
  <c r="Y271" i="3"/>
  <c r="X271" i="3"/>
  <c r="Y14" i="9" s="1"/>
  <c r="Y269" i="3"/>
  <c r="X269" i="3"/>
  <c r="W269" i="3"/>
  <c r="V269" i="3"/>
  <c r="W273" i="3"/>
  <c r="V273" i="3"/>
  <c r="W270" i="3"/>
  <c r="V270" i="3"/>
  <c r="W271" i="3"/>
  <c r="V271" i="3"/>
  <c r="W14" i="9" s="1"/>
  <c r="M269" i="3"/>
  <c r="I274" i="3"/>
  <c r="M274" i="3"/>
  <c r="I269" i="3"/>
  <c r="E140" i="3"/>
  <c r="E199" i="3"/>
  <c r="G8" i="9" s="1"/>
  <c r="F23" i="5" l="1"/>
  <c r="W15" i="9"/>
  <c r="X15" i="9"/>
  <c r="Y13" i="9"/>
  <c r="Y15" i="9"/>
  <c r="Z13" i="9"/>
  <c r="Z15" i="9"/>
  <c r="W13" i="9"/>
  <c r="F24" i="5"/>
  <c r="X13" i="9"/>
  <c r="X14" i="9"/>
  <c r="Z14" i="9"/>
  <c r="V20" i="10"/>
  <c r="V19" i="10"/>
  <c r="BI17" i="9"/>
  <c r="BI14" i="9"/>
  <c r="BI12" i="9"/>
  <c r="BI5" i="9"/>
  <c r="BI15" i="9"/>
  <c r="BI8" i="9"/>
  <c r="BI21" i="9"/>
  <c r="BI19" i="9"/>
  <c r="AD70" i="3"/>
  <c r="AE70" i="3"/>
  <c r="AF70" i="3"/>
  <c r="AH70" i="3" s="1"/>
  <c r="AI70" i="3"/>
  <c r="AJ70" i="3"/>
  <c r="H81" i="3"/>
  <c r="M81" i="3"/>
  <c r="AE81" i="3"/>
  <c r="AI81" i="3"/>
  <c r="AJ81" i="3"/>
  <c r="H82" i="3"/>
  <c r="I82" i="3" s="1"/>
  <c r="M82" i="3"/>
  <c r="AF82" i="3" s="1"/>
  <c r="AH82" i="3" s="1"/>
  <c r="AE82" i="3"/>
  <c r="AI82" i="3"/>
  <c r="AJ82" i="3"/>
  <c r="H83" i="3"/>
  <c r="M83" i="3"/>
  <c r="H86" i="3"/>
  <c r="AE86" i="3"/>
  <c r="AF86" i="3"/>
  <c r="AH86" i="3" s="1"/>
  <c r="AI86" i="3"/>
  <c r="AJ86" i="3"/>
  <c r="H87" i="3"/>
  <c r="K87" i="3"/>
  <c r="L87" i="3"/>
  <c r="AE87" i="3"/>
  <c r="AF87" i="3"/>
  <c r="AH87" i="3" s="1"/>
  <c r="AI87" i="3"/>
  <c r="AJ87" i="3"/>
  <c r="H88" i="3"/>
  <c r="K88" i="3"/>
  <c r="L88" i="3"/>
  <c r="AE88" i="3"/>
  <c r="AF88" i="3"/>
  <c r="AH88" i="3" s="1"/>
  <c r="AI88" i="3"/>
  <c r="AJ88" i="3"/>
  <c r="I89" i="3"/>
  <c r="M89" i="3"/>
  <c r="AE89" i="3"/>
  <c r="AF89" i="3"/>
  <c r="AH89" i="3" s="1"/>
  <c r="AI89" i="3"/>
  <c r="AJ89" i="3"/>
  <c r="H116" i="3"/>
  <c r="M116" i="3"/>
  <c r="AE116" i="3"/>
  <c r="AF116" i="3"/>
  <c r="AH116" i="3" s="1"/>
  <c r="AI116" i="3"/>
  <c r="AJ116" i="3"/>
  <c r="I117" i="3"/>
  <c r="M117" i="3"/>
  <c r="H118" i="3"/>
  <c r="I118" i="3" s="1"/>
  <c r="M118" i="3"/>
  <c r="I119" i="3"/>
  <c r="M119" i="3"/>
  <c r="H120" i="3"/>
  <c r="I120" i="3" s="1"/>
  <c r="M120" i="3"/>
  <c r="H123" i="3"/>
  <c r="K123" i="3"/>
  <c r="L123" i="3"/>
  <c r="AE123" i="3"/>
  <c r="AF123" i="3"/>
  <c r="AH123" i="3" s="1"/>
  <c r="AI123" i="3"/>
  <c r="AJ123" i="3"/>
  <c r="I124" i="3"/>
  <c r="M124" i="3"/>
  <c r="M129" i="3"/>
  <c r="H136" i="3"/>
  <c r="M136" i="3"/>
  <c r="AE136" i="3"/>
  <c r="AF136" i="3"/>
  <c r="AH136" i="3" s="1"/>
  <c r="AI136" i="3"/>
  <c r="AJ136" i="3"/>
  <c r="H137" i="3"/>
  <c r="M137" i="3"/>
  <c r="AE137" i="3"/>
  <c r="AF137" i="3"/>
  <c r="AH137" i="3" s="1"/>
  <c r="AI137" i="3"/>
  <c r="AJ137" i="3"/>
  <c r="I138" i="3"/>
  <c r="M138" i="3"/>
  <c r="AE138" i="3"/>
  <c r="AF138" i="3"/>
  <c r="AH138" i="3" s="1"/>
  <c r="AI138" i="3"/>
  <c r="AJ138" i="3"/>
  <c r="I139" i="3"/>
  <c r="M139" i="3"/>
  <c r="AE139" i="3"/>
  <c r="AF139" i="3"/>
  <c r="AH139" i="3" s="1"/>
  <c r="AI139" i="3"/>
  <c r="AJ139" i="3"/>
  <c r="H140" i="3"/>
  <c r="AE140" i="3"/>
  <c r="AF140" i="3"/>
  <c r="AH140" i="3" s="1"/>
  <c r="AI140" i="3"/>
  <c r="AJ140" i="3"/>
  <c r="H141" i="3"/>
  <c r="K141" i="3"/>
  <c r="M141" i="3"/>
  <c r="I142" i="3"/>
  <c r="M142" i="3"/>
  <c r="H152" i="3"/>
  <c r="I152" i="3" s="1"/>
  <c r="M152" i="3"/>
  <c r="AE152" i="3"/>
  <c r="AF152" i="3"/>
  <c r="AH152" i="3" s="1"/>
  <c r="AI152" i="3"/>
  <c r="AJ152" i="3"/>
  <c r="H162" i="3"/>
  <c r="M162" i="3"/>
  <c r="V162" i="3"/>
  <c r="W162" i="3"/>
  <c r="X162" i="3"/>
  <c r="Y162" i="3"/>
  <c r="AD163" i="3"/>
  <c r="I166" i="3"/>
  <c r="M166" i="3"/>
  <c r="H167" i="3"/>
  <c r="K167" i="3"/>
  <c r="L167" i="3"/>
  <c r="M167" i="3" s="1"/>
  <c r="I168" i="3"/>
  <c r="M168" i="3"/>
  <c r="I169" i="3"/>
  <c r="M169" i="3"/>
  <c r="I170" i="3"/>
  <c r="M170" i="3"/>
  <c r="H195" i="3"/>
  <c r="I195" i="3" s="1"/>
  <c r="K195" i="3"/>
  <c r="L195" i="3"/>
  <c r="M195" i="3" s="1"/>
  <c r="H196" i="3"/>
  <c r="K196" i="3"/>
  <c r="L196" i="3"/>
  <c r="M196" i="3" s="1"/>
  <c r="H197" i="3"/>
  <c r="K197" i="3"/>
  <c r="L197" i="3"/>
  <c r="H198" i="3"/>
  <c r="K198" i="3"/>
  <c r="L198" i="3"/>
  <c r="AD200" i="3"/>
  <c r="AE202" i="3"/>
  <c r="AF202" i="3"/>
  <c r="AH202" i="3" s="1"/>
  <c r="AI202" i="3"/>
  <c r="AJ202" i="3"/>
  <c r="AE203" i="3"/>
  <c r="AF203" i="3"/>
  <c r="AH203" i="3" s="1"/>
  <c r="AI203" i="3"/>
  <c r="AJ203" i="3"/>
  <c r="AE204" i="3"/>
  <c r="AF204" i="3"/>
  <c r="AH204" i="3" s="1"/>
  <c r="AI204" i="3"/>
  <c r="AJ204" i="3"/>
  <c r="AE205" i="3"/>
  <c r="AF205" i="3"/>
  <c r="AH205" i="3" s="1"/>
  <c r="AI205" i="3"/>
  <c r="AJ205" i="3"/>
  <c r="AE206" i="3"/>
  <c r="AF206" i="3"/>
  <c r="AH206" i="3" s="1"/>
  <c r="AI206" i="3"/>
  <c r="AJ206" i="3"/>
  <c r="AE207" i="3"/>
  <c r="AF207" i="3"/>
  <c r="AH207" i="3" s="1"/>
  <c r="AI207" i="3"/>
  <c r="AJ207" i="3"/>
  <c r="AE208" i="3"/>
  <c r="AF208" i="3"/>
  <c r="AH208" i="3" s="1"/>
  <c r="AI208" i="3"/>
  <c r="AJ208" i="3"/>
  <c r="AE209" i="3"/>
  <c r="AF209" i="3"/>
  <c r="AH209" i="3" s="1"/>
  <c r="AI209" i="3"/>
  <c r="AJ209" i="3"/>
  <c r="AE210" i="3"/>
  <c r="AF210" i="3"/>
  <c r="AH210" i="3" s="1"/>
  <c r="AI210" i="3"/>
  <c r="AJ210" i="3"/>
  <c r="AE211" i="3"/>
  <c r="AF211" i="3"/>
  <c r="AH211" i="3" s="1"/>
  <c r="AI211" i="3"/>
  <c r="AJ211" i="3"/>
  <c r="AE212" i="3"/>
  <c r="AF212" i="3"/>
  <c r="AH212" i="3" s="1"/>
  <c r="AI212" i="3"/>
  <c r="AJ212" i="3"/>
  <c r="AE213" i="3"/>
  <c r="AF213" i="3"/>
  <c r="AH213" i="3" s="1"/>
  <c r="AI213" i="3"/>
  <c r="AJ213" i="3"/>
  <c r="AE214" i="3"/>
  <c r="AF214" i="3"/>
  <c r="AH214" i="3" s="1"/>
  <c r="AI214" i="3"/>
  <c r="AJ214" i="3"/>
  <c r="AE215" i="3"/>
  <c r="AF215" i="3"/>
  <c r="AH215" i="3" s="1"/>
  <c r="AI215" i="3"/>
  <c r="AJ215" i="3"/>
  <c r="AE216" i="3"/>
  <c r="AF216" i="3"/>
  <c r="AH216" i="3" s="1"/>
  <c r="AI216" i="3"/>
  <c r="AJ216" i="3"/>
  <c r="AE217" i="3"/>
  <c r="AF217" i="3"/>
  <c r="AH217" i="3" s="1"/>
  <c r="AI217" i="3"/>
  <c r="AJ217" i="3"/>
  <c r="AE218" i="3"/>
  <c r="AF218" i="3"/>
  <c r="AH218" i="3" s="1"/>
  <c r="AI218" i="3"/>
  <c r="AJ218" i="3"/>
  <c r="AE219" i="3"/>
  <c r="AF219" i="3"/>
  <c r="AH219" i="3" s="1"/>
  <c r="AI219" i="3"/>
  <c r="AJ219" i="3"/>
  <c r="AE220" i="3"/>
  <c r="AF220" i="3"/>
  <c r="AH220" i="3" s="1"/>
  <c r="AI220" i="3"/>
  <c r="AJ220" i="3"/>
  <c r="AE221" i="3"/>
  <c r="AF221" i="3"/>
  <c r="AH221" i="3" s="1"/>
  <c r="AI221" i="3"/>
  <c r="AJ221" i="3"/>
  <c r="AH222" i="3"/>
  <c r="AI222" i="3"/>
  <c r="AJ222" i="3"/>
  <c r="AE223" i="3"/>
  <c r="AF223" i="3"/>
  <c r="AH223" i="3" s="1"/>
  <c r="AI223" i="3"/>
  <c r="AJ223" i="3"/>
  <c r="AE224" i="3"/>
  <c r="AF224" i="3"/>
  <c r="AH224" i="3" s="1"/>
  <c r="AI224" i="3"/>
  <c r="AJ224" i="3"/>
  <c r="AE225" i="3"/>
  <c r="AF225" i="3"/>
  <c r="AH225" i="3" s="1"/>
  <c r="AI225" i="3"/>
  <c r="AJ225" i="3"/>
  <c r="AE226" i="3"/>
  <c r="AF226" i="3"/>
  <c r="AH226" i="3" s="1"/>
  <c r="AI226" i="3"/>
  <c r="AJ226" i="3"/>
  <c r="AE227" i="3"/>
  <c r="AF227" i="3"/>
  <c r="AH227" i="3" s="1"/>
  <c r="AI227" i="3"/>
  <c r="AJ227" i="3"/>
  <c r="AE228" i="3"/>
  <c r="AF228" i="3"/>
  <c r="AH228" i="3" s="1"/>
  <c r="AI228" i="3"/>
  <c r="AJ228" i="3"/>
  <c r="AE229" i="3"/>
  <c r="AF229" i="3"/>
  <c r="AH229" i="3" s="1"/>
  <c r="AI229" i="3"/>
  <c r="AJ229" i="3"/>
  <c r="AE230" i="3"/>
  <c r="AF230" i="3"/>
  <c r="AH230" i="3" s="1"/>
  <c r="AI230" i="3"/>
  <c r="AJ230" i="3"/>
  <c r="AE231" i="3"/>
  <c r="AF231" i="3"/>
  <c r="AH231" i="3" s="1"/>
  <c r="AI231" i="3"/>
  <c r="AJ231" i="3"/>
  <c r="AE232" i="3"/>
  <c r="AF232" i="3"/>
  <c r="AH232" i="3" s="1"/>
  <c r="AI232" i="3"/>
  <c r="AJ232" i="3"/>
  <c r="AE233" i="3"/>
  <c r="AF233" i="3"/>
  <c r="AH233" i="3" s="1"/>
  <c r="AI233" i="3"/>
  <c r="AJ233" i="3"/>
  <c r="AE234" i="3"/>
  <c r="AF234" i="3"/>
  <c r="AH234" i="3" s="1"/>
  <c r="AI234" i="3"/>
  <c r="AJ234" i="3"/>
  <c r="AE235" i="3"/>
  <c r="AF235" i="3"/>
  <c r="AH235" i="3" s="1"/>
  <c r="AI235" i="3"/>
  <c r="AJ235" i="3"/>
  <c r="AE236" i="3"/>
  <c r="AF236" i="3"/>
  <c r="AH236" i="3" s="1"/>
  <c r="AI236" i="3"/>
  <c r="AJ236" i="3"/>
  <c r="AH237" i="3"/>
  <c r="AI237" i="3"/>
  <c r="AJ237" i="3"/>
  <c r="AE238" i="3"/>
  <c r="AF238" i="3"/>
  <c r="AH238" i="3" s="1"/>
  <c r="AI238" i="3"/>
  <c r="AJ238" i="3"/>
  <c r="AE239" i="3"/>
  <c r="AF239" i="3"/>
  <c r="AH239" i="3" s="1"/>
  <c r="AI239" i="3"/>
  <c r="AJ239" i="3"/>
  <c r="I265" i="3"/>
  <c r="M265" i="3"/>
  <c r="I266" i="3"/>
  <c r="M266" i="3"/>
  <c r="F267" i="3"/>
  <c r="T23" i="5" s="1"/>
  <c r="I268" i="3"/>
  <c r="M268" i="3"/>
  <c r="I270" i="3"/>
  <c r="M270" i="3"/>
  <c r="I271" i="3"/>
  <c r="M271" i="3"/>
  <c r="P14" i="9" s="1"/>
  <c r="I273" i="3"/>
  <c r="M273" i="3"/>
  <c r="H275" i="3"/>
  <c r="M275" i="3"/>
  <c r="H276" i="3"/>
  <c r="H277" i="3"/>
  <c r="H278" i="3"/>
  <c r="AD289" i="3"/>
  <c r="E3" i="6"/>
  <c r="D6" i="6"/>
  <c r="E6" i="6"/>
  <c r="F6" i="6"/>
  <c r="H6" i="6"/>
  <c r="I6" i="6"/>
  <c r="N6" i="6"/>
  <c r="O6" i="6"/>
  <c r="P6" i="6"/>
  <c r="Q6" i="6"/>
  <c r="S6" i="6"/>
  <c r="N10" i="6"/>
  <c r="L14" i="6"/>
  <c r="M14" i="6"/>
  <c r="N14" i="6"/>
  <c r="O5" i="6"/>
  <c r="P5" i="6"/>
  <c r="Q5" i="6"/>
  <c r="S5" i="6"/>
  <c r="L15" i="6"/>
  <c r="M15" i="6"/>
  <c r="B16" i="6"/>
  <c r="E16" i="6" s="1"/>
  <c r="B17" i="6"/>
  <c r="B18" i="6"/>
  <c r="B19" i="6"/>
  <c r="B26" i="6"/>
  <c r="B20" i="6"/>
  <c r="B25" i="6"/>
  <c r="B27" i="6"/>
  <c r="B28" i="6"/>
  <c r="B29" i="6"/>
  <c r="B34" i="6"/>
  <c r="B35" i="6"/>
  <c r="L36" i="6"/>
  <c r="M36" i="6"/>
  <c r="C27" i="4"/>
  <c r="C30" i="4"/>
  <c r="C32" i="4"/>
  <c r="C33" i="4"/>
  <c r="C34" i="4"/>
  <c r="C35" i="4"/>
  <c r="C36" i="4"/>
  <c r="C37" i="4"/>
  <c r="C40" i="4"/>
  <c r="C41" i="4"/>
  <c r="C43" i="4"/>
  <c r="C44" i="4"/>
  <c r="C45" i="4"/>
  <c r="C46" i="4"/>
  <c r="C47" i="4"/>
  <c r="AC21" i="4"/>
  <c r="AD21" i="4"/>
  <c r="AE21" i="4"/>
  <c r="AF21" i="4"/>
  <c r="AG21" i="4"/>
  <c r="AH21" i="4"/>
  <c r="AI21" i="4"/>
  <c r="AJ21" i="4"/>
  <c r="AK21" i="4"/>
  <c r="K2" i="5"/>
  <c r="W9" i="5"/>
  <c r="Y11" i="5"/>
  <c r="AA11" i="5"/>
  <c r="Y13" i="5"/>
  <c r="AA13" i="5"/>
  <c r="I13" i="5"/>
  <c r="Y14" i="5"/>
  <c r="AA14" i="5"/>
  <c r="B18" i="5"/>
  <c r="B39" i="5" s="1"/>
  <c r="J18" i="5"/>
  <c r="AA18" i="5" s="1"/>
  <c r="AE10" i="5"/>
  <c r="AH10" i="5"/>
  <c r="AI10" i="5"/>
  <c r="AJ10" i="5"/>
  <c r="AJ39" i="5" s="1"/>
  <c r="N19" i="5"/>
  <c r="V20" i="5"/>
  <c r="AL20" i="5" s="1"/>
  <c r="W21" i="5"/>
  <c r="AG21" i="5" s="1"/>
  <c r="W22" i="5"/>
  <c r="AG22" i="5" s="1"/>
  <c r="V22" i="5"/>
  <c r="AL22" i="5" s="1"/>
  <c r="W24" i="5"/>
  <c r="AG24" i="5" s="1"/>
  <c r="V24" i="5"/>
  <c r="AL24" i="5" s="1"/>
  <c r="B40" i="5"/>
  <c r="AK37" i="4" l="1"/>
  <c r="M44" i="3" s="1"/>
  <c r="AI37" i="4"/>
  <c r="AK32" i="4"/>
  <c r="H44" i="3" s="1"/>
  <c r="AI32" i="4"/>
  <c r="H42" i="3" s="1"/>
  <c r="AI44" i="4"/>
  <c r="AI43" i="4"/>
  <c r="AG34" i="4"/>
  <c r="AE44" i="4"/>
  <c r="AD34" i="4"/>
  <c r="AE43" i="4"/>
  <c r="U42" i="3"/>
  <c r="AI34" i="4"/>
  <c r="AJ34" i="4"/>
  <c r="U39" i="3"/>
  <c r="AK34" i="4"/>
  <c r="AD44" i="4"/>
  <c r="AG43" i="4"/>
  <c r="AH34" i="4"/>
  <c r="AK44" i="4"/>
  <c r="AG44" i="4"/>
  <c r="AF44" i="4"/>
  <c r="AH44" i="4"/>
  <c r="U44" i="3"/>
  <c r="AJ43" i="4"/>
  <c r="AH43" i="4"/>
  <c r="U41" i="3"/>
  <c r="AD43" i="4"/>
  <c r="U40" i="3"/>
  <c r="V23" i="9" s="1"/>
  <c r="AF34" i="4"/>
  <c r="AF43" i="4"/>
  <c r="AE34" i="4"/>
  <c r="AK43" i="4"/>
  <c r="AJ44" i="4"/>
  <c r="AE32" i="4"/>
  <c r="AG32" i="4"/>
  <c r="H40" i="3" s="1"/>
  <c r="J23" i="9" s="1"/>
  <c r="AG37" i="4"/>
  <c r="M40" i="3" s="1"/>
  <c r="P23" i="9" s="1"/>
  <c r="AE37" i="4"/>
  <c r="T24" i="5"/>
  <c r="AK24" i="5" s="1"/>
  <c r="H15" i="9"/>
  <c r="M8" i="9"/>
  <c r="T31" i="5"/>
  <c r="H13" i="9"/>
  <c r="J8" i="9"/>
  <c r="N8" i="9"/>
  <c r="O8" i="9" s="1"/>
  <c r="J23" i="5"/>
  <c r="P15" i="9"/>
  <c r="T30" i="5"/>
  <c r="H14" i="9"/>
  <c r="P13" i="9"/>
  <c r="Y12" i="10"/>
  <c r="Y18" i="10"/>
  <c r="Y14" i="10"/>
  <c r="AB20" i="10"/>
  <c r="AB11" i="10"/>
  <c r="AB19" i="10"/>
  <c r="AB18" i="10"/>
  <c r="AB12" i="10"/>
  <c r="AB14" i="10"/>
  <c r="J24" i="5"/>
  <c r="AA24" i="5" s="1"/>
  <c r="J15" i="9"/>
  <c r="J13" i="9"/>
  <c r="J31" i="5"/>
  <c r="AJ24" i="5"/>
  <c r="AI24" i="5"/>
  <c r="AH24" i="5"/>
  <c r="AI22" i="5"/>
  <c r="AJ22" i="5"/>
  <c r="AH22" i="5"/>
  <c r="AK22" i="5"/>
  <c r="AI21" i="5"/>
  <c r="AD21" i="5"/>
  <c r="AJ21" i="5"/>
  <c r="AK21" i="5"/>
  <c r="AH21" i="5"/>
  <c r="AM20" i="5"/>
  <c r="U38" i="3"/>
  <c r="U43" i="3"/>
  <c r="M43" i="3"/>
  <c r="M39" i="3"/>
  <c r="M41" i="3"/>
  <c r="M37" i="3"/>
  <c r="U37" i="3"/>
  <c r="H39" i="3"/>
  <c r="H41" i="3"/>
  <c r="H43" i="3"/>
  <c r="Z36" i="3"/>
  <c r="AB36" i="3"/>
  <c r="AA36" i="3"/>
  <c r="N36" i="3"/>
  <c r="R36" i="3"/>
  <c r="AC44" i="4"/>
  <c r="Q36" i="3"/>
  <c r="AC34" i="4"/>
  <c r="AC43" i="4"/>
  <c r="Y36" i="3"/>
  <c r="W36" i="3"/>
  <c r="X36" i="3"/>
  <c r="V36" i="3"/>
  <c r="P36" i="3"/>
  <c r="K22" i="5"/>
  <c r="AB22" i="5" s="1"/>
  <c r="X21" i="5"/>
  <c r="Z21" i="5"/>
  <c r="Z22" i="5"/>
  <c r="X22" i="5"/>
  <c r="Z24" i="5"/>
  <c r="X24" i="5"/>
  <c r="Z28" i="5"/>
  <c r="X28" i="5"/>
  <c r="AF24" i="5"/>
  <c r="AF21" i="5"/>
  <c r="AF22" i="5"/>
  <c r="AF28" i="5"/>
  <c r="AB18" i="5"/>
  <c r="AB10" i="5" s="1"/>
  <c r="AB39" i="5" s="1"/>
  <c r="P8" i="9"/>
  <c r="Y15" i="5"/>
  <c r="AD229" i="3"/>
  <c r="AD227" i="3"/>
  <c r="H37" i="3"/>
  <c r="M42" i="3"/>
  <c r="W18" i="10"/>
  <c r="X12" i="10"/>
  <c r="X14" i="10"/>
  <c r="AA15" i="5"/>
  <c r="K17" i="6"/>
  <c r="G17" i="6"/>
  <c r="J17" i="6"/>
  <c r="F17" i="6"/>
  <c r="C17" i="6"/>
  <c r="I17" i="6"/>
  <c r="E17" i="6"/>
  <c r="H17" i="6"/>
  <c r="D17" i="6"/>
  <c r="K28" i="6"/>
  <c r="G28" i="6"/>
  <c r="J28" i="6"/>
  <c r="F28" i="6"/>
  <c r="I28" i="6"/>
  <c r="E28" i="6"/>
  <c r="C28" i="6"/>
  <c r="H28" i="6"/>
  <c r="D28" i="6"/>
  <c r="F26" i="6"/>
  <c r="E26" i="6"/>
  <c r="C26" i="6"/>
  <c r="H26" i="6"/>
  <c r="K16" i="6"/>
  <c r="G16" i="6"/>
  <c r="J16" i="6"/>
  <c r="F16" i="6"/>
  <c r="I16" i="6"/>
  <c r="C16" i="6"/>
  <c r="H16" i="6"/>
  <c r="D16" i="6"/>
  <c r="K20" i="6"/>
  <c r="G20" i="6"/>
  <c r="J20" i="6"/>
  <c r="F20" i="6"/>
  <c r="C20" i="6"/>
  <c r="I20" i="6"/>
  <c r="E20" i="6"/>
  <c r="H20" i="6"/>
  <c r="D20" i="6"/>
  <c r="K35" i="6"/>
  <c r="G35" i="6"/>
  <c r="C35" i="6"/>
  <c r="J35" i="6"/>
  <c r="F35" i="6"/>
  <c r="I35" i="6"/>
  <c r="E35" i="6"/>
  <c r="H35" i="6"/>
  <c r="D35" i="6"/>
  <c r="K27" i="6"/>
  <c r="G27" i="6"/>
  <c r="J27" i="6"/>
  <c r="F27" i="6"/>
  <c r="C27" i="6"/>
  <c r="I27" i="6"/>
  <c r="E27" i="6"/>
  <c r="H27" i="6"/>
  <c r="D27" i="6"/>
  <c r="K19" i="6"/>
  <c r="G19" i="6"/>
  <c r="J19" i="6"/>
  <c r="F19" i="6"/>
  <c r="I19" i="6"/>
  <c r="E19" i="6"/>
  <c r="H19" i="6"/>
  <c r="D19" i="6"/>
  <c r="C19" i="6"/>
  <c r="C34" i="6"/>
  <c r="D34" i="6"/>
  <c r="C25" i="6"/>
  <c r="K18" i="6"/>
  <c r="G18" i="6"/>
  <c r="C18" i="6"/>
  <c r="J18" i="6"/>
  <c r="F18" i="6"/>
  <c r="I18" i="6"/>
  <c r="E18" i="6"/>
  <c r="H18" i="6"/>
  <c r="D18" i="6"/>
  <c r="M87" i="3"/>
  <c r="M198" i="3"/>
  <c r="M197" i="3"/>
  <c r="I198" i="3"/>
  <c r="I197" i="3"/>
  <c r="M123" i="3"/>
  <c r="AC24" i="5"/>
  <c r="AC21" i="5"/>
  <c r="Y20" i="10"/>
  <c r="Y19" i="10"/>
  <c r="AD24" i="5"/>
  <c r="Y21" i="5"/>
  <c r="M88" i="3"/>
  <c r="I137" i="3"/>
  <c r="AA21" i="5"/>
  <c r="N5" i="6"/>
  <c r="Y45" i="5"/>
  <c r="N36" i="6"/>
  <c r="AP4" i="9"/>
  <c r="I267" i="3"/>
  <c r="AD267" i="3" s="1"/>
  <c r="S10" i="6"/>
  <c r="R10" i="6"/>
  <c r="L20" i="6"/>
  <c r="L18" i="6"/>
  <c r="L16" i="6"/>
  <c r="AM22" i="5"/>
  <c r="AM24" i="5"/>
  <c r="K19" i="5"/>
  <c r="AB19" i="5" s="1"/>
  <c r="P10" i="6"/>
  <c r="V21" i="5"/>
  <c r="AL21" i="5" s="1"/>
  <c r="AD268" i="3"/>
  <c r="I278" i="3"/>
  <c r="AF81" i="3"/>
  <c r="AH81" i="3" s="1"/>
  <c r="AD216" i="3"/>
  <c r="AD215" i="3"/>
  <c r="AD212" i="3"/>
  <c r="AD211" i="3"/>
  <c r="AD210" i="3"/>
  <c r="AD209" i="3"/>
  <c r="AD235" i="3"/>
  <c r="AD224" i="3"/>
  <c r="AD222" i="3"/>
  <c r="AD221" i="3"/>
  <c r="AD207" i="3"/>
  <c r="AD204" i="3"/>
  <c r="AD203" i="3"/>
  <c r="I277" i="3"/>
  <c r="AD82" i="3"/>
  <c r="AD265" i="3"/>
  <c r="AD10" i="5"/>
  <c r="AD142" i="3"/>
  <c r="AD118" i="3"/>
  <c r="AD169" i="3"/>
  <c r="AD89" i="3"/>
  <c r="AA10" i="5"/>
  <c r="AA39" i="5" s="1"/>
  <c r="I276" i="3"/>
  <c r="AD276" i="3" s="1"/>
  <c r="AD170" i="3"/>
  <c r="AD168" i="3"/>
  <c r="I140" i="3"/>
  <c r="AD140" i="3" s="1"/>
  <c r="AE24" i="5"/>
  <c r="AD271" i="3"/>
  <c r="I196" i="3"/>
  <c r="AD196" i="3" s="1"/>
  <c r="I129" i="3"/>
  <c r="AD129" i="3" s="1"/>
  <c r="AD76" i="3"/>
  <c r="AD74" i="3"/>
  <c r="AD195" i="3"/>
  <c r="AD124" i="3"/>
  <c r="AC22" i="5"/>
  <c r="Y10" i="5"/>
  <c r="Y39" i="5" s="1"/>
  <c r="M18" i="6"/>
  <c r="Y22" i="5"/>
  <c r="AD22" i="5"/>
  <c r="M17" i="6"/>
  <c r="M16" i="6"/>
  <c r="Y20" i="5"/>
  <c r="I123" i="3"/>
  <c r="M20" i="6"/>
  <c r="AE22" i="5"/>
  <c r="AE21" i="5"/>
  <c r="AA22" i="5"/>
  <c r="AA20" i="5"/>
  <c r="AD273" i="3"/>
  <c r="I167" i="3"/>
  <c r="AD167" i="3" s="1"/>
  <c r="I87" i="3"/>
  <c r="AD73" i="3"/>
  <c r="Q10" i="6"/>
  <c r="O10" i="6"/>
  <c r="I275" i="3"/>
  <c r="AD270" i="3"/>
  <c r="I165" i="3"/>
  <c r="I141" i="3"/>
  <c r="AD141" i="3" s="1"/>
  <c r="I136" i="3"/>
  <c r="AD79" i="3"/>
  <c r="AD78" i="3"/>
  <c r="AD75" i="3"/>
  <c r="I162" i="3"/>
  <c r="AD152" i="3"/>
  <c r="AD120" i="3"/>
  <c r="I86" i="3"/>
  <c r="I83" i="3"/>
  <c r="AD83" i="3" s="1"/>
  <c r="I81" i="3"/>
  <c r="AD71" i="3"/>
  <c r="AD69" i="3"/>
  <c r="AD117" i="3"/>
  <c r="I116" i="3"/>
  <c r="AD116" i="3" s="1"/>
  <c r="I88" i="3"/>
  <c r="AD72" i="3"/>
  <c r="I199" i="3"/>
  <c r="AD199" i="3" s="1"/>
  <c r="AD139" i="3"/>
  <c r="AD138" i="3"/>
  <c r="AD121" i="3"/>
  <c r="AD119" i="3"/>
  <c r="AD80" i="3"/>
  <c r="E25" i="6" l="1"/>
  <c r="W9" i="9"/>
  <c r="Y9" i="9"/>
  <c r="X9" i="9"/>
  <c r="AB9" i="9"/>
  <c r="AA9" i="9"/>
  <c r="Z9" i="9"/>
  <c r="AC9" i="9"/>
  <c r="I26" i="6"/>
  <c r="M28" i="5"/>
  <c r="M29" i="5"/>
  <c r="T9" i="9"/>
  <c r="J26" i="6"/>
  <c r="G26" i="6"/>
  <c r="U9" i="9"/>
  <c r="S29" i="5"/>
  <c r="R29" i="5"/>
  <c r="S9" i="9"/>
  <c r="K26" i="6"/>
  <c r="L29" i="5"/>
  <c r="Q9" i="9"/>
  <c r="AG33" i="4"/>
  <c r="I40" i="3" s="1"/>
  <c r="K23" i="9" s="1"/>
  <c r="AI33" i="4"/>
  <c r="I42" i="3" s="1"/>
  <c r="AK33" i="4"/>
  <c r="I44" i="3" s="1"/>
  <c r="AE33" i="4"/>
  <c r="K23" i="5"/>
  <c r="K14" i="9"/>
  <c r="K30" i="5"/>
  <c r="AA11" i="10"/>
  <c r="AA19" i="10"/>
  <c r="AA20" i="10"/>
  <c r="AA12" i="10"/>
  <c r="AA14" i="10"/>
  <c r="AA18" i="10"/>
  <c r="K24" i="5"/>
  <c r="AB24" i="5" s="1"/>
  <c r="K15" i="9"/>
  <c r="K13" i="9"/>
  <c r="K31" i="5"/>
  <c r="F25" i="6"/>
  <c r="G25" i="6"/>
  <c r="I25" i="6"/>
  <c r="K25" i="6"/>
  <c r="AN22" i="5"/>
  <c r="J25" i="6"/>
  <c r="F28" i="5"/>
  <c r="H25" i="6"/>
  <c r="I37" i="3"/>
  <c r="I39" i="3"/>
  <c r="I41" i="3"/>
  <c r="I43" i="3"/>
  <c r="AD137" i="3"/>
  <c r="K8" i="9"/>
  <c r="BD4" i="9"/>
  <c r="X18" i="10"/>
  <c r="Z12" i="10"/>
  <c r="Z18" i="10"/>
  <c r="Z14" i="10"/>
  <c r="Z11" i="10"/>
  <c r="AD206" i="3"/>
  <c r="AD198" i="3"/>
  <c r="T20" i="6"/>
  <c r="T17" i="6"/>
  <c r="T18" i="6"/>
  <c r="T16" i="6"/>
  <c r="AD197" i="3"/>
  <c r="Y24" i="5"/>
  <c r="W11" i="10"/>
  <c r="Y11" i="10"/>
  <c r="AD88" i="3"/>
  <c r="Z19" i="10"/>
  <c r="Z20" i="10"/>
  <c r="W19" i="10"/>
  <c r="W20" i="10"/>
  <c r="X20" i="10"/>
  <c r="X19" i="10"/>
  <c r="BE4" i="9"/>
  <c r="BH4" i="9"/>
  <c r="BA4" i="9"/>
  <c r="BG4" i="9"/>
  <c r="BF4" i="9"/>
  <c r="AD86" i="3"/>
  <c r="AZ4" i="9"/>
  <c r="BC4" i="9"/>
  <c r="AD165" i="3"/>
  <c r="BB4" i="9"/>
  <c r="AD136" i="3"/>
  <c r="AD278" i="3"/>
  <c r="R20" i="6"/>
  <c r="U20" i="6"/>
  <c r="R18" i="6"/>
  <c r="U18" i="6"/>
  <c r="R17" i="6"/>
  <c r="U17" i="6"/>
  <c r="R16" i="6"/>
  <c r="U16" i="6"/>
  <c r="L17" i="6"/>
  <c r="AM21" i="5"/>
  <c r="AD87" i="3"/>
  <c r="AD213" i="3"/>
  <c r="AD123" i="3"/>
  <c r="AD220" i="3"/>
  <c r="AD275" i="3"/>
  <c r="AD81" i="3"/>
  <c r="AD202" i="3"/>
  <c r="AD162" i="3"/>
  <c r="AD233" i="3"/>
  <c r="AD219" i="3"/>
  <c r="AD231" i="3"/>
  <c r="AD217" i="3"/>
  <c r="AD228" i="3"/>
  <c r="AD57" i="3"/>
  <c r="AD223" i="3"/>
  <c r="N17" i="6"/>
  <c r="S17" i="6"/>
  <c r="P17" i="6"/>
  <c r="Q17" i="6"/>
  <c r="O17" i="6"/>
  <c r="AD208" i="3"/>
  <c r="AD238" i="3"/>
  <c r="AD214" i="3"/>
  <c r="AD234" i="3"/>
  <c r="AD226" i="3"/>
  <c r="AD230" i="3"/>
  <c r="N20" i="6"/>
  <c r="S20" i="6"/>
  <c r="P20" i="6"/>
  <c r="Q20" i="6"/>
  <c r="O20" i="6"/>
  <c r="Q18" i="6"/>
  <c r="O18" i="6"/>
  <c r="S18" i="6"/>
  <c r="N18" i="6"/>
  <c r="P18" i="6"/>
  <c r="X11" i="10"/>
  <c r="AD236" i="3"/>
  <c r="AD225" i="3"/>
  <c r="AD232" i="3"/>
  <c r="O16" i="6"/>
  <c r="Q16" i="6"/>
  <c r="N16" i="6"/>
  <c r="S16" i="6"/>
  <c r="P16" i="6"/>
  <c r="K42" i="3" l="1"/>
  <c r="K43" i="3"/>
  <c r="K40" i="3"/>
  <c r="M23" i="9" s="1"/>
  <c r="K41" i="3"/>
  <c r="K44" i="3"/>
  <c r="K37" i="3"/>
  <c r="K39" i="3"/>
  <c r="AN38" i="5"/>
  <c r="AN24" i="5"/>
  <c r="AN20" i="5"/>
  <c r="AB20" i="5"/>
  <c r="AN21" i="5"/>
  <c r="AB21" i="5"/>
  <c r="BI4" i="9"/>
  <c r="AL32" i="5"/>
  <c r="W38" i="5"/>
  <c r="AG38" i="5" s="1"/>
  <c r="V38" i="5"/>
  <c r="AL38" i="5" s="1"/>
  <c r="AD239" i="3"/>
  <c r="BA16" i="9"/>
  <c r="AJ38" i="5" l="1"/>
  <c r="AH38" i="5"/>
  <c r="AK38" i="5"/>
  <c r="AG32" i="5"/>
  <c r="L35" i="6"/>
  <c r="AM38" i="5"/>
  <c r="AE38" i="5"/>
  <c r="L29" i="6"/>
  <c r="AM32" i="5"/>
  <c r="AE32" i="5"/>
  <c r="AD32" i="5"/>
  <c r="AD38" i="5"/>
  <c r="AC38" i="5"/>
  <c r="AA38" i="5"/>
  <c r="AB38" i="5"/>
  <c r="Y38" i="5"/>
  <c r="M35" i="6"/>
  <c r="T35" i="6" s="1"/>
  <c r="AI38" i="5"/>
  <c r="AB32" i="5"/>
  <c r="Y32" i="5"/>
  <c r="AA32" i="5"/>
  <c r="AC32" i="5"/>
  <c r="M29" i="6"/>
  <c r="T29" i="6" s="1"/>
  <c r="BI16" i="9"/>
  <c r="R35" i="6" l="1"/>
  <c r="U35" i="6"/>
  <c r="R29" i="6"/>
  <c r="U29" i="6"/>
  <c r="P35" i="6"/>
  <c r="S35" i="6"/>
  <c r="Q35" i="6"/>
  <c r="O35" i="6"/>
  <c r="N29" i="6"/>
  <c r="P29" i="6"/>
  <c r="O29" i="6"/>
  <c r="Q29" i="6"/>
  <c r="S29" i="6"/>
  <c r="N35" i="6" l="1"/>
  <c r="BA22" i="9"/>
  <c r="BI22" i="9" s="1"/>
  <c r="AD243" i="3" l="1"/>
  <c r="AD250" i="3" l="1"/>
  <c r="AD249" i="3"/>
  <c r="AD242" i="3"/>
  <c r="AD244" i="3"/>
  <c r="C36" i="3" l="1"/>
  <c r="E36" i="3"/>
  <c r="G9" i="9" l="1"/>
  <c r="H29" i="5"/>
  <c r="E9" i="9"/>
  <c r="D26" i="6"/>
  <c r="E11" i="9"/>
  <c r="AX11" i="9" s="1"/>
  <c r="BH11" i="9" s="1"/>
  <c r="H28" i="5"/>
  <c r="D25" i="6"/>
  <c r="AV11" i="9"/>
  <c r="BF11" i="9" s="1"/>
  <c r="AW11" i="9"/>
  <c r="BG11" i="9" s="1"/>
  <c r="AT11" i="9"/>
  <c r="BD11" i="9" s="1"/>
  <c r="AU11" i="9"/>
  <c r="BE11" i="9" s="1"/>
  <c r="AR11" i="9"/>
  <c r="BB11" i="9" s="1"/>
  <c r="AQ11" i="9"/>
  <c r="BA11" i="9" s="1"/>
  <c r="T13" i="10"/>
  <c r="AG13" i="10" s="1"/>
  <c r="AF36" i="3"/>
  <c r="AE37" i="3"/>
  <c r="AD38" i="3"/>
  <c r="AE36" i="3"/>
  <c r="AD37" i="3"/>
  <c r="AD36" i="3"/>
  <c r="AG36" i="3"/>
  <c r="AF37" i="3"/>
  <c r="AE38" i="3"/>
  <c r="AD39" i="3"/>
  <c r="AI36" i="3"/>
  <c r="AH37" i="3"/>
  <c r="AG38" i="3"/>
  <c r="AF39" i="3"/>
  <c r="AE40" i="3"/>
  <c r="AD41" i="3"/>
  <c r="AH36" i="3"/>
  <c r="AG37" i="3"/>
  <c r="AF38" i="3"/>
  <c r="AE39" i="3"/>
  <c r="AD40" i="3"/>
  <c r="F30" i="5"/>
  <c r="AD9" i="9" l="1"/>
  <c r="AS9" i="9"/>
  <c r="BC9" i="9" s="1"/>
  <c r="AR9" i="9"/>
  <c r="BB9" i="9" s="1"/>
  <c r="AS11" i="9"/>
  <c r="BC11" i="9" s="1"/>
  <c r="AP11" i="9"/>
  <c r="AZ11" i="9" s="1"/>
  <c r="AD11" i="9"/>
  <c r="W28" i="5"/>
  <c r="AG28" i="5" s="1"/>
  <c r="V28" i="5"/>
  <c r="AM28" i="5" s="1"/>
  <c r="AS23" i="9"/>
  <c r="BC23" i="9" s="1"/>
  <c r="AU23" i="9"/>
  <c r="BE23" i="9" s="1"/>
  <c r="AW23" i="9"/>
  <c r="BG23" i="9" s="1"/>
  <c r="AR23" i="9"/>
  <c r="BB23" i="9" s="1"/>
  <c r="AV23" i="9"/>
  <c r="BF23" i="9" s="1"/>
  <c r="AT23" i="9"/>
  <c r="BD23" i="9" s="1"/>
  <c r="AX23" i="9"/>
  <c r="BH23" i="9" s="1"/>
  <c r="AP23" i="9"/>
  <c r="AZ23" i="9" s="1"/>
  <c r="BE10" i="9"/>
  <c r="BC10" i="9"/>
  <c r="BD10" i="9"/>
  <c r="BF10" i="9"/>
  <c r="BG10" i="9"/>
  <c r="BA9" i="9"/>
  <c r="BE9" i="9"/>
  <c r="BG9" i="9"/>
  <c r="BD9" i="9"/>
  <c r="BF9" i="9"/>
  <c r="BH9" i="9"/>
  <c r="AP9" i="9"/>
  <c r="AZ9" i="9" s="1"/>
  <c r="V29" i="5"/>
  <c r="AM29" i="5" s="1"/>
  <c r="W29" i="5"/>
  <c r="F29" i="5"/>
  <c r="U13" i="10"/>
  <c r="Z13" i="10" s="1"/>
  <c r="BB10" i="9"/>
  <c r="BA10" i="9"/>
  <c r="BH10" i="9"/>
  <c r="AP10" i="9"/>
  <c r="AZ10" i="9" s="1"/>
  <c r="AQ23" i="9"/>
  <c r="BA23" i="9" s="1"/>
  <c r="AP7" i="9"/>
  <c r="T22" i="10"/>
  <c r="V37" i="5"/>
  <c r="AL37" i="5" s="1"/>
  <c r="W37" i="5"/>
  <c r="W23" i="5"/>
  <c r="AG23" i="5" s="1"/>
  <c r="V23" i="5"/>
  <c r="AL23" i="5" s="1"/>
  <c r="AN30" i="5"/>
  <c r="V30" i="5"/>
  <c r="W30" i="5"/>
  <c r="AG30" i="5" s="1"/>
  <c r="BI11" i="9" l="1"/>
  <c r="AI23" i="5"/>
  <c r="AG25" i="5"/>
  <c r="AJ23" i="5"/>
  <c r="AK23" i="5"/>
  <c r="AK25" i="5" s="1"/>
  <c r="AH23" i="5"/>
  <c r="AI28" i="5"/>
  <c r="AJ28" i="5"/>
  <c r="AH28" i="5"/>
  <c r="AK28" i="5"/>
  <c r="AJ29" i="5"/>
  <c r="AI29" i="5"/>
  <c r="AK30" i="5"/>
  <c r="AH30" i="5"/>
  <c r="AI30" i="5"/>
  <c r="AJ30" i="5"/>
  <c r="AL28" i="5"/>
  <c r="L25" i="6"/>
  <c r="M25" i="6"/>
  <c r="AD28" i="5"/>
  <c r="AC28" i="5"/>
  <c r="X30" i="5"/>
  <c r="Z30" i="5"/>
  <c r="X29" i="5"/>
  <c r="Z29" i="5"/>
  <c r="AF30" i="5"/>
  <c r="AF37" i="5"/>
  <c r="AF29" i="5"/>
  <c r="BI23" i="9"/>
  <c r="BI9" i="9"/>
  <c r="AM30" i="5"/>
  <c r="AL30" i="5"/>
  <c r="L26" i="6"/>
  <c r="AL29" i="5"/>
  <c r="AL25" i="5" s="1"/>
  <c r="AD29" i="5"/>
  <c r="AC29" i="5"/>
  <c r="M26" i="6"/>
  <c r="Y13" i="10"/>
  <c r="AF13" i="10"/>
  <c r="AB13" i="10"/>
  <c r="AE13" i="10"/>
  <c r="AD13" i="10"/>
  <c r="AC13" i="10"/>
  <c r="AA13" i="10"/>
  <c r="V13" i="10"/>
  <c r="X13" i="10"/>
  <c r="W13" i="10"/>
  <c r="BI10" i="9"/>
  <c r="BB7" i="9"/>
  <c r="BF7" i="9"/>
  <c r="AN23" i="5"/>
  <c r="AZ7" i="9"/>
  <c r="BG7" i="9"/>
  <c r="BH7" i="9"/>
  <c r="BE7" i="9"/>
  <c r="BA7" i="9"/>
  <c r="BC7" i="9"/>
  <c r="BD7" i="9"/>
  <c r="L34" i="6"/>
  <c r="AM37" i="5"/>
  <c r="V25" i="5"/>
  <c r="L21" i="6" s="1"/>
  <c r="W25" i="5"/>
  <c r="L19" i="6"/>
  <c r="AM23" i="5"/>
  <c r="AM25" i="5" s="1"/>
  <c r="AE23" i="5"/>
  <c r="M34" i="6"/>
  <c r="AC23" i="5"/>
  <c r="M19" i="6"/>
  <c r="T19" i="6" s="1"/>
  <c r="AB23" i="5"/>
  <c r="Y23" i="5"/>
  <c r="AD23" i="5"/>
  <c r="AA23" i="5"/>
  <c r="AE30" i="5"/>
  <c r="AC30" i="5"/>
  <c r="AD30" i="5"/>
  <c r="Y30" i="5"/>
  <c r="AB30" i="5"/>
  <c r="M27" i="6"/>
  <c r="T27" i="6" s="1"/>
  <c r="AA30" i="5"/>
  <c r="L27" i="6"/>
  <c r="W26" i="5" l="1"/>
  <c r="Q25" i="6"/>
  <c r="O25" i="6"/>
  <c r="N25" i="6"/>
  <c r="T25" i="6"/>
  <c r="R25" i="6"/>
  <c r="S25" i="6"/>
  <c r="P25" i="6"/>
  <c r="U25" i="6"/>
  <c r="AI25" i="5"/>
  <c r="AC25" i="5"/>
  <c r="AC26" i="5" s="1"/>
  <c r="AA25" i="5"/>
  <c r="AA26" i="5" s="1"/>
  <c r="AH25" i="5"/>
  <c r="AB25" i="5"/>
  <c r="AB26" i="5" s="1"/>
  <c r="AF25" i="5"/>
  <c r="AF26" i="5" s="1"/>
  <c r="AD25" i="5"/>
  <c r="AD26" i="5" s="1"/>
  <c r="AE25" i="5"/>
  <c r="AE26" i="5" s="1"/>
  <c r="T26" i="6"/>
  <c r="T21" i="6" s="1"/>
  <c r="P26" i="6"/>
  <c r="O26" i="6"/>
  <c r="U26" i="6"/>
  <c r="S26" i="6"/>
  <c r="Q26" i="6"/>
  <c r="R26" i="6"/>
  <c r="N26" i="6"/>
  <c r="Y25" i="5"/>
  <c r="BI7" i="9"/>
  <c r="R27" i="6"/>
  <c r="U27" i="6"/>
  <c r="R19" i="6"/>
  <c r="U19" i="6"/>
  <c r="AJ25" i="5"/>
  <c r="P19" i="6"/>
  <c r="S19" i="6"/>
  <c r="N19" i="6"/>
  <c r="Q19" i="6"/>
  <c r="O19" i="6"/>
  <c r="N27" i="6"/>
  <c r="Q27" i="6"/>
  <c r="O27" i="6"/>
  <c r="S27" i="6"/>
  <c r="P27" i="6"/>
  <c r="Y26" i="5" l="1"/>
  <c r="Q21" i="6"/>
  <c r="S21" i="6"/>
  <c r="O21" i="6"/>
  <c r="N21" i="6"/>
  <c r="P21" i="6"/>
  <c r="R21" i="6"/>
  <c r="BD13" i="9" l="1"/>
  <c r="BI13" i="9" l="1"/>
  <c r="M21" i="6" l="1"/>
  <c r="T22" i="6" s="1"/>
  <c r="S22" i="6" l="1"/>
  <c r="Q22" i="6"/>
  <c r="O22" i="6"/>
  <c r="R22" i="6"/>
  <c r="P22" i="6"/>
  <c r="N22" i="6"/>
  <c r="BD18" i="9" l="1"/>
  <c r="AP18" i="9"/>
  <c r="BH18" i="9" l="1"/>
  <c r="BE18" i="9"/>
  <c r="AZ18" i="9"/>
  <c r="BF18" i="9"/>
  <c r="BG18" i="9"/>
  <c r="BC18" i="9"/>
  <c r="BB18" i="9"/>
  <c r="BA18" i="9"/>
  <c r="V31" i="5"/>
  <c r="AL31" i="5" s="1"/>
  <c r="AL33" i="5" s="1"/>
  <c r="AL40" i="5" s="1"/>
  <c r="W31" i="5"/>
  <c r="AG31" i="5" s="1"/>
  <c r="AH31" i="5" l="1"/>
  <c r="AK31" i="5"/>
  <c r="AI31" i="5"/>
  <c r="AJ31" i="5"/>
  <c r="Z31" i="5"/>
  <c r="X31" i="5"/>
  <c r="AF31" i="5"/>
  <c r="AF33" i="5" s="1"/>
  <c r="AF40" i="5" s="1"/>
  <c r="BI18" i="9"/>
  <c r="F31" i="5"/>
  <c r="AM31" i="5"/>
  <c r="AM33" i="5" s="1"/>
  <c r="L28" i="6"/>
  <c r="V33" i="5"/>
  <c r="M28" i="6"/>
  <c r="T28" i="6" s="1"/>
  <c r="AC31" i="5"/>
  <c r="AC33" i="5" s="1"/>
  <c r="W33" i="5"/>
  <c r="AE31" i="5"/>
  <c r="W40" i="5" l="1"/>
  <c r="AF15" i="5"/>
  <c r="W34" i="5"/>
  <c r="AM48" i="5"/>
  <c r="Q28" i="6"/>
  <c r="R28" i="6"/>
  <c r="S28" i="6"/>
  <c r="AF35" i="5"/>
  <c r="M30" i="6"/>
  <c r="AC34" i="5"/>
  <c r="L18" i="7" s="1"/>
  <c r="AF34" i="5"/>
  <c r="L30" i="6"/>
  <c r="V40" i="5"/>
  <c r="AF41" i="5" l="1"/>
  <c r="AC39" i="5"/>
  <c r="AD39" i="5"/>
  <c r="S30" i="6"/>
  <c r="Q30" i="6"/>
  <c r="Q31" i="6" s="1"/>
  <c r="R30" i="6"/>
  <c r="L37" i="6"/>
  <c r="AE43" i="5"/>
  <c r="AF14" i="5"/>
  <c r="W15" i="5" s="1"/>
  <c r="W42" i="5" s="1"/>
  <c r="AI39" i="5"/>
  <c r="AE39" i="5"/>
  <c r="AH39" i="5"/>
  <c r="W41" i="5"/>
  <c r="AG39" i="5"/>
  <c r="M37" i="6"/>
  <c r="R31" i="6" l="1"/>
  <c r="S31" i="6"/>
  <c r="M7" i="6"/>
  <c r="R8" i="6" l="1"/>
  <c r="P8" i="6"/>
  <c r="S8" i="6"/>
  <c r="S11" i="6" s="1"/>
  <c r="N8" i="6"/>
  <c r="O8" i="6"/>
  <c r="Q8" i="6"/>
  <c r="Q11" i="6" l="1"/>
  <c r="Q23" i="6"/>
  <c r="Q32" i="6"/>
  <c r="N11" i="6"/>
  <c r="N23" i="6"/>
  <c r="P11" i="6"/>
  <c r="P23" i="6"/>
  <c r="O11" i="6"/>
  <c r="O23" i="6"/>
  <c r="AE46" i="5"/>
  <c r="R11" i="6"/>
  <c r="Y46" i="5" l="1"/>
  <c r="AD46" i="5"/>
  <c r="AA46" i="5"/>
  <c r="AB46" i="5"/>
  <c r="AC46" i="5"/>
  <c r="Y31" i="5" l="1"/>
  <c r="P28" i="6"/>
  <c r="AD31" i="5"/>
  <c r="AD33" i="5" s="1"/>
  <c r="AD34" i="5" s="1"/>
  <c r="AA31" i="5"/>
  <c r="AB31" i="5"/>
  <c r="O28" i="6"/>
  <c r="N28" i="6"/>
  <c r="AP20" i="9" l="1"/>
  <c r="O30" i="6"/>
  <c r="O31" i="6" s="1"/>
  <c r="P30" i="6"/>
  <c r="P32" i="6" s="1"/>
  <c r="N30" i="6"/>
  <c r="N31" i="6" s="1"/>
  <c r="T30" i="6"/>
  <c r="AD35" i="5"/>
  <c r="AN31" i="5"/>
  <c r="U28" i="6"/>
  <c r="AJ33" i="5"/>
  <c r="AZ20" i="9" l="1"/>
  <c r="BH20" i="9"/>
  <c r="BA20" i="9"/>
  <c r="BE20" i="9"/>
  <c r="BF20" i="9"/>
  <c r="BC20" i="9"/>
  <c r="BG20" i="9"/>
  <c r="BB20" i="9"/>
  <c r="N32" i="6"/>
  <c r="O32" i="6"/>
  <c r="P31" i="6"/>
  <c r="T31" i="6"/>
  <c r="BD20" i="9"/>
  <c r="AJ34" i="5"/>
  <c r="W43" i="5" l="1"/>
  <c r="BI20" i="9"/>
  <c r="I6" i="9" l="1"/>
  <c r="AB6" i="9"/>
  <c r="P6" i="9"/>
  <c r="U6" i="9"/>
  <c r="Z6" i="9"/>
  <c r="AA6" i="9"/>
  <c r="S6" i="9"/>
  <c r="M6" i="9"/>
  <c r="AC6" i="9"/>
  <c r="L6" i="9"/>
  <c r="X6" i="9"/>
  <c r="H6" i="9"/>
  <c r="W6" i="9"/>
  <c r="G6" i="9"/>
  <c r="N6" i="9"/>
  <c r="Y6" i="9"/>
  <c r="K6" i="9"/>
  <c r="J6" i="9"/>
  <c r="V6" i="9"/>
  <c r="F6" i="9"/>
  <c r="E6" i="9"/>
  <c r="AQ6" i="9" l="1"/>
  <c r="AU6" i="9"/>
  <c r="AR6" i="9"/>
  <c r="AV6" i="9"/>
  <c r="AS6" i="9"/>
  <c r="AW6" i="9"/>
  <c r="AT6" i="9"/>
  <c r="AX6" i="9"/>
  <c r="AP6" i="9"/>
  <c r="O6" i="9"/>
  <c r="AD6" i="9"/>
  <c r="AQ26" i="9" l="1"/>
  <c r="AQ46" i="9" s="1"/>
  <c r="AQ56" i="9" s="1"/>
  <c r="O47" i="3" s="1"/>
  <c r="AP26" i="9"/>
  <c r="AP46" i="9" s="1"/>
  <c r="AP56" i="9" s="1"/>
  <c r="O46" i="3" s="1"/>
  <c r="AU26" i="9"/>
  <c r="AR26" i="9"/>
  <c r="AX26" i="9"/>
  <c r="AX46" i="9" s="1"/>
  <c r="AX56" i="9" s="1"/>
  <c r="O54" i="3" s="1"/>
  <c r="AT26" i="9"/>
  <c r="AW26" i="9"/>
  <c r="AS26" i="9"/>
  <c r="BH6" i="9"/>
  <c r="BH25" i="9" s="1"/>
  <c r="AX25" i="9"/>
  <c r="BF6" i="9"/>
  <c r="BF25" i="9" s="1"/>
  <c r="AV25" i="9"/>
  <c r="AV26" i="9"/>
  <c r="BD6" i="9"/>
  <c r="BD25" i="9" s="1"/>
  <c r="AT25" i="9"/>
  <c r="BB6" i="9"/>
  <c r="BB25" i="9" s="1"/>
  <c r="AR25" i="9"/>
  <c r="BG6" i="9"/>
  <c r="BG25" i="9" s="1"/>
  <c r="AW25" i="9"/>
  <c r="BE6" i="9"/>
  <c r="BE25" i="9" s="1"/>
  <c r="AU25" i="9"/>
  <c r="AZ6" i="9"/>
  <c r="AP25" i="9"/>
  <c r="BC6" i="9"/>
  <c r="BC25" i="9" s="1"/>
  <c r="AS25" i="9"/>
  <c r="BA6" i="9"/>
  <c r="BA25" i="9" s="1"/>
  <c r="AQ25" i="9"/>
  <c r="AP53" i="9"/>
  <c r="AR53" i="9"/>
  <c r="AQ53" i="9"/>
  <c r="AW53" i="9"/>
  <c r="AT53" i="9"/>
  <c r="AV53" i="9"/>
  <c r="AS53" i="9"/>
  <c r="AU53" i="9"/>
  <c r="AX53" i="9"/>
  <c r="AA48" i="3"/>
  <c r="AA49" i="3"/>
  <c r="AA46" i="3"/>
  <c r="AA52" i="3"/>
  <c r="AA50" i="3"/>
  <c r="AA53" i="3"/>
  <c r="AX71" i="9"/>
  <c r="AQ71" i="9"/>
  <c r="AP71" i="9"/>
  <c r="AT71" i="9"/>
  <c r="AV71" i="9"/>
  <c r="AU71" i="9"/>
  <c r="AR71" i="9"/>
  <c r="AW71" i="9"/>
  <c r="AS71" i="9"/>
  <c r="AA54" i="3"/>
  <c r="BF27" i="9" l="1"/>
  <c r="BF29" i="9"/>
  <c r="BF28" i="9"/>
  <c r="BD27" i="9"/>
  <c r="BD28" i="9"/>
  <c r="BD29" i="9"/>
  <c r="BG29" i="9"/>
  <c r="BG27" i="9"/>
  <c r="BG28" i="9"/>
  <c r="BH29" i="9"/>
  <c r="BH28" i="9"/>
  <c r="BH27" i="9"/>
  <c r="BE28" i="9"/>
  <c r="BE27" i="9"/>
  <c r="BE29" i="9"/>
  <c r="BA29" i="9"/>
  <c r="BA28" i="9"/>
  <c r="BA27" i="9"/>
  <c r="AZ29" i="9"/>
  <c r="AZ28" i="9"/>
  <c r="Q46" i="3" s="1"/>
  <c r="AZ27" i="9"/>
  <c r="P46" i="3" s="1"/>
  <c r="AP37" i="9"/>
  <c r="AU41" i="9"/>
  <c r="C51" i="3" s="1"/>
  <c r="BA34" i="9"/>
  <c r="Z47" i="3" s="1"/>
  <c r="AQ27" i="9"/>
  <c r="AX62" i="9"/>
  <c r="U54" i="3" s="1"/>
  <c r="BA35" i="9"/>
  <c r="AB47" i="3" s="1"/>
  <c r="AT37" i="9"/>
  <c r="AU37" i="9"/>
  <c r="AX37" i="9"/>
  <c r="AW37" i="9"/>
  <c r="AS37" i="9"/>
  <c r="AV37" i="9"/>
  <c r="AR37" i="9"/>
  <c r="AQ59" i="9"/>
  <c r="AQ37" i="9"/>
  <c r="AZ26" i="9"/>
  <c r="N46" i="3" s="1"/>
  <c r="AZ36" i="9"/>
  <c r="AU45" i="9"/>
  <c r="F51" i="3" s="1"/>
  <c r="AQ33" i="9"/>
  <c r="I47" i="3" s="1"/>
  <c r="AQ31" i="9"/>
  <c r="E47" i="3" s="1"/>
  <c r="AQ35" i="9"/>
  <c r="BA31" i="9"/>
  <c r="W47" i="3" s="1"/>
  <c r="AQ36" i="9"/>
  <c r="L47" i="3" s="1"/>
  <c r="BA36" i="9"/>
  <c r="AQ62" i="9"/>
  <c r="U47" i="3" s="1"/>
  <c r="BA26" i="9"/>
  <c r="N47" i="3" s="1"/>
  <c r="BA33" i="9"/>
  <c r="Y47" i="3" s="1"/>
  <c r="AQ45" i="9"/>
  <c r="F47" i="3" s="1"/>
  <c r="BA30" i="9"/>
  <c r="V47" i="3" s="1"/>
  <c r="BA32" i="9"/>
  <c r="X47" i="3" s="1"/>
  <c r="AP31" i="9"/>
  <c r="E46" i="3" s="1"/>
  <c r="AT46" i="9"/>
  <c r="AX47" i="9"/>
  <c r="G54" i="3" s="1"/>
  <c r="AU46" i="9"/>
  <c r="AW46" i="9"/>
  <c r="AP33" i="9"/>
  <c r="AZ32" i="9"/>
  <c r="AV46" i="9"/>
  <c r="AW33" i="9"/>
  <c r="I53" i="3" s="1"/>
  <c r="AW35" i="9"/>
  <c r="AV59" i="9"/>
  <c r="BH34" i="9"/>
  <c r="Z54" i="3" s="1"/>
  <c r="AP32" i="9"/>
  <c r="H46" i="3" s="1"/>
  <c r="AZ34" i="9"/>
  <c r="AU35" i="9"/>
  <c r="AP36" i="9"/>
  <c r="L46" i="3" s="1"/>
  <c r="AP59" i="9"/>
  <c r="AQ32" i="9"/>
  <c r="H47" i="3" s="1"/>
  <c r="AZ33" i="9"/>
  <c r="AZ30" i="9"/>
  <c r="AP35" i="9"/>
  <c r="AQ30" i="9"/>
  <c r="D47" i="3" s="1"/>
  <c r="AZ31" i="9"/>
  <c r="AZ35" i="9"/>
  <c r="AB46" i="3" s="1"/>
  <c r="AP41" i="9"/>
  <c r="C46" i="3" s="1"/>
  <c r="AU36" i="9"/>
  <c r="L51" i="3"/>
  <c r="AU30" i="9"/>
  <c r="D51" i="3" s="1"/>
  <c r="BE32" i="9"/>
  <c r="X51" i="3" s="1"/>
  <c r="BG30" i="9"/>
  <c r="V53" i="3" s="1"/>
  <c r="BB36" i="9"/>
  <c r="BF35" i="9"/>
  <c r="AB52" i="3" s="1"/>
  <c r="BD26" i="9"/>
  <c r="N50" i="3" s="1"/>
  <c r="BE36" i="9"/>
  <c r="BE26" i="9"/>
  <c r="N51" i="3" s="1"/>
  <c r="AU59" i="9"/>
  <c r="AU62" i="9"/>
  <c r="U51" i="3" s="1"/>
  <c r="AU33" i="9"/>
  <c r="I51" i="3" s="1"/>
  <c r="BE30" i="9"/>
  <c r="V51" i="3" s="1"/>
  <c r="BE31" i="9"/>
  <c r="W51" i="3" s="1"/>
  <c r="AU32" i="9"/>
  <c r="H51" i="3" s="1"/>
  <c r="BE33" i="9"/>
  <c r="Y51" i="3" s="1"/>
  <c r="BE35" i="9"/>
  <c r="AB51" i="3" s="1"/>
  <c r="BE34" i="9"/>
  <c r="Z51" i="3" s="1"/>
  <c r="AU31" i="9"/>
  <c r="E51" i="3" s="1"/>
  <c r="AW31" i="9"/>
  <c r="E53" i="3" s="1"/>
  <c r="BG36" i="9"/>
  <c r="BG35" i="9"/>
  <c r="AB53" i="3" s="1"/>
  <c r="AW32" i="9"/>
  <c r="H53" i="3" s="1"/>
  <c r="BG31" i="9"/>
  <c r="W53" i="3" s="1"/>
  <c r="BG34" i="9"/>
  <c r="Z53" i="3" s="1"/>
  <c r="AP27" i="9"/>
  <c r="BD36" i="9"/>
  <c r="AT30" i="9"/>
  <c r="D50" i="3" s="1"/>
  <c r="AV32" i="9"/>
  <c r="H52" i="3" s="1"/>
  <c r="BG32" i="9"/>
  <c r="X53" i="3" s="1"/>
  <c r="AW41" i="9"/>
  <c r="C53" i="3" s="1"/>
  <c r="AW62" i="9"/>
  <c r="U53" i="3" s="1"/>
  <c r="BH31" i="9"/>
  <c r="W54" i="3" s="1"/>
  <c r="AW30" i="9"/>
  <c r="D53" i="3" s="1"/>
  <c r="AT59" i="9"/>
  <c r="L53" i="3"/>
  <c r="BH35" i="9"/>
  <c r="AB54" i="3" s="1"/>
  <c r="AX33" i="9"/>
  <c r="I54" i="3" s="1"/>
  <c r="AT27" i="9"/>
  <c r="AX41" i="9"/>
  <c r="C54" i="3" s="1"/>
  <c r="AW36" i="9"/>
  <c r="AX35" i="9"/>
  <c r="AW59" i="9"/>
  <c r="BD34" i="9"/>
  <c r="Z50" i="3" s="1"/>
  <c r="BD35" i="9"/>
  <c r="AB50" i="3" s="1"/>
  <c r="AT32" i="9"/>
  <c r="H50" i="3" s="1"/>
  <c r="BH30" i="9"/>
  <c r="V54" i="3" s="1"/>
  <c r="BD32" i="9"/>
  <c r="X50" i="3" s="1"/>
  <c r="BD33" i="9"/>
  <c r="Y50" i="3" s="1"/>
  <c r="AU27" i="9"/>
  <c r="AT36" i="9"/>
  <c r="BD31" i="9"/>
  <c r="W50" i="3" s="1"/>
  <c r="AQ41" i="9"/>
  <c r="C47" i="3" s="1"/>
  <c r="L50" i="3"/>
  <c r="BH26" i="9"/>
  <c r="N54" i="3" s="1"/>
  <c r="AT45" i="9"/>
  <c r="F50" i="3" s="1"/>
  <c r="AV30" i="9"/>
  <c r="D52" i="3" s="1"/>
  <c r="AV33" i="9"/>
  <c r="I52" i="3" s="1"/>
  <c r="AV35" i="9"/>
  <c r="BF33" i="9"/>
  <c r="Y52" i="3" s="1"/>
  <c r="BF36" i="9"/>
  <c r="BF30" i="9"/>
  <c r="V52" i="3" s="1"/>
  <c r="AV62" i="9"/>
  <c r="U52" i="3" s="1"/>
  <c r="BF26" i="9"/>
  <c r="N52" i="3" s="1"/>
  <c r="AX36" i="9"/>
  <c r="BF34" i="9"/>
  <c r="Z52" i="3" s="1"/>
  <c r="AV36" i="9"/>
  <c r="BF32" i="9"/>
  <c r="X52" i="3" s="1"/>
  <c r="BF31" i="9"/>
  <c r="W52" i="3" s="1"/>
  <c r="AV31" i="9"/>
  <c r="E52" i="3" s="1"/>
  <c r="AR41" i="9"/>
  <c r="C48" i="3" s="1"/>
  <c r="AV41" i="9"/>
  <c r="C52" i="3" s="1"/>
  <c r="AV45" i="9"/>
  <c r="F52" i="3" s="1"/>
  <c r="AX31" i="9"/>
  <c r="E54" i="3" s="1"/>
  <c r="BH32" i="9"/>
  <c r="X54" i="3" s="1"/>
  <c r="AT31" i="9"/>
  <c r="E50" i="3" s="1"/>
  <c r="AT33" i="9"/>
  <c r="I50" i="3" s="1"/>
  <c r="AT35" i="9"/>
  <c r="AX59" i="9"/>
  <c r="BH33" i="9"/>
  <c r="Y54" i="3" s="1"/>
  <c r="AX27" i="9"/>
  <c r="BH36" i="9"/>
  <c r="AW27" i="9"/>
  <c r="BG26" i="9"/>
  <c r="N53" i="3" s="1"/>
  <c r="AW45" i="9"/>
  <c r="F53" i="3" s="1"/>
  <c r="AT41" i="9"/>
  <c r="C50" i="3" s="1"/>
  <c r="AT62" i="9"/>
  <c r="U50" i="3" s="1"/>
  <c r="BD30" i="9"/>
  <c r="V50" i="3" s="1"/>
  <c r="BG33" i="9"/>
  <c r="Y53" i="3" s="1"/>
  <c r="L54" i="3"/>
  <c r="L52" i="3"/>
  <c r="AX45" i="9"/>
  <c r="F54" i="3" s="1"/>
  <c r="AX30" i="9"/>
  <c r="D54" i="3" s="1"/>
  <c r="AX32" i="9"/>
  <c r="H54" i="3" s="1"/>
  <c r="AP30" i="9"/>
  <c r="D46" i="3" s="1"/>
  <c r="BC36" i="9"/>
  <c r="AS41" i="9"/>
  <c r="C49" i="3" s="1"/>
  <c r="AR27" i="9"/>
  <c r="AS27" i="9"/>
  <c r="AV27" i="9"/>
  <c r="BI6" i="9"/>
  <c r="BI25" i="9" s="1"/>
  <c r="AZ25" i="9"/>
  <c r="R54" i="3" l="1"/>
  <c r="AX61" i="9"/>
  <c r="R46" i="3"/>
  <c r="AP61" i="9"/>
  <c r="R53" i="3"/>
  <c r="AW61" i="9"/>
  <c r="R50" i="3"/>
  <c r="AT61" i="9"/>
  <c r="R47" i="3"/>
  <c r="AQ61" i="9"/>
  <c r="R51" i="3"/>
  <c r="AU61" i="9"/>
  <c r="R52" i="3"/>
  <c r="AV61" i="9"/>
  <c r="AW47" i="9"/>
  <c r="G53" i="3" s="1"/>
  <c r="AW56" i="9"/>
  <c r="O53" i="3" s="1"/>
  <c r="AU47" i="9"/>
  <c r="G51" i="3" s="1"/>
  <c r="AU56" i="9"/>
  <c r="O51" i="3" s="1"/>
  <c r="AT47" i="9"/>
  <c r="G50" i="3" s="1"/>
  <c r="AT56" i="9"/>
  <c r="O50" i="3" s="1"/>
  <c r="AV47" i="9"/>
  <c r="G52" i="3" s="1"/>
  <c r="AV56" i="9"/>
  <c r="O52" i="3" s="1"/>
  <c r="J54" i="3"/>
  <c r="M54" i="3"/>
  <c r="J53" i="3"/>
  <c r="M53" i="3"/>
  <c r="J52" i="3"/>
  <c r="M52" i="3"/>
  <c r="J51" i="3"/>
  <c r="M51" i="3"/>
  <c r="J50" i="3"/>
  <c r="M50" i="3"/>
  <c r="J47" i="3"/>
  <c r="M47" i="3"/>
  <c r="J46" i="3"/>
  <c r="M46" i="3"/>
  <c r="I46" i="3"/>
  <c r="AQ47" i="9"/>
  <c r="G47" i="3" s="1"/>
  <c r="Q54" i="3"/>
  <c r="Q53" i="3"/>
  <c r="P54" i="3"/>
  <c r="Q52" i="3"/>
  <c r="P53" i="3"/>
  <c r="Q51" i="3"/>
  <c r="P52" i="3"/>
  <c r="Q50" i="3"/>
  <c r="P51" i="3"/>
  <c r="P50" i="3"/>
  <c r="Q47" i="3"/>
  <c r="Y46" i="3"/>
  <c r="Z46" i="3"/>
  <c r="X46" i="3"/>
  <c r="V46" i="3"/>
  <c r="W46" i="3"/>
  <c r="P47" i="3"/>
  <c r="AC24" i="4" l="1"/>
  <c r="AC23" i="4" s="1"/>
  <c r="Y28" i="5" l="1"/>
  <c r="I29" i="5"/>
  <c r="F9" i="9"/>
  <c r="AC45" i="4"/>
  <c r="U36" i="3" s="1"/>
  <c r="AC30" i="4"/>
  <c r="AC37" i="4"/>
  <c r="M36" i="3" s="1"/>
  <c r="AC35" i="4"/>
  <c r="K36" i="3" s="1"/>
  <c r="M9" i="9" s="1"/>
  <c r="AC36" i="4"/>
  <c r="L36" i="3" s="1"/>
  <c r="AC39" i="4"/>
  <c r="AK31" i="4"/>
  <c r="G44" i="3" s="1"/>
  <c r="AC33" i="4"/>
  <c r="I36" i="3" s="1"/>
  <c r="AC32" i="4"/>
  <c r="H36" i="3" s="1"/>
  <c r="J28" i="5" l="1"/>
  <c r="AA28" i="5" s="1"/>
  <c r="J9" i="9"/>
  <c r="J29" i="5"/>
  <c r="AA29" i="5" s="1"/>
  <c r="N28" i="5"/>
  <c r="AE28" i="5" s="1"/>
  <c r="N9" i="9"/>
  <c r="N29" i="5"/>
  <c r="AE29" i="5" s="1"/>
  <c r="P29" i="5"/>
  <c r="AG29" i="5" s="1"/>
  <c r="AG33" i="5" s="1"/>
  <c r="P9" i="9"/>
  <c r="V11" i="9"/>
  <c r="V9" i="9"/>
  <c r="AI33" i="5"/>
  <c r="AI34" i="5" s="1"/>
  <c r="O36" i="3"/>
  <c r="Y29" i="5"/>
  <c r="Y33" i="5" s="1"/>
  <c r="K28" i="5"/>
  <c r="AB28" i="5" s="1"/>
  <c r="K9" i="9"/>
  <c r="K29" i="5"/>
  <c r="AB29" i="5" s="1"/>
  <c r="AG31" i="4"/>
  <c r="G40" i="3" s="1"/>
  <c r="AI31" i="4"/>
  <c r="G42" i="3" s="1"/>
  <c r="F36" i="3"/>
  <c r="AE31" i="4"/>
  <c r="AC31" i="4"/>
  <c r="G36" i="3" s="1"/>
  <c r="AC25" i="4"/>
  <c r="AP63" i="9" l="1"/>
  <c r="AP62" i="9" s="1"/>
  <c r="U46" i="3" s="1"/>
  <c r="AQ63" i="9"/>
  <c r="AT63" i="9"/>
  <c r="AX63" i="9"/>
  <c r="AV63" i="9"/>
  <c r="AS63" i="9"/>
  <c r="AS62" i="9" s="1"/>
  <c r="U49" i="3" s="1"/>
  <c r="AU63" i="9"/>
  <c r="AE33" i="5"/>
  <c r="AE35" i="5" s="1"/>
  <c r="AG34" i="5"/>
  <c r="L9" i="9"/>
  <c r="I9" i="9"/>
  <c r="Y34" i="5"/>
  <c r="J18" i="7" s="1"/>
  <c r="F21" i="7" s="1"/>
  <c r="AC35" i="5"/>
  <c r="Y35" i="5"/>
  <c r="AA33" i="5"/>
  <c r="H9" i="9"/>
  <c r="T29" i="5"/>
  <c r="AK29" i="5" s="1"/>
  <c r="AK33" i="5" s="1"/>
  <c r="AB33" i="5"/>
  <c r="AN29" i="5"/>
  <c r="Q29" i="5"/>
  <c r="AH29" i="5" s="1"/>
  <c r="AH33" i="5" s="1"/>
  <c r="R9" i="9"/>
  <c r="L23" i="9"/>
  <c r="I23" i="9"/>
  <c r="AR63" i="9"/>
  <c r="AR62" i="9" s="1"/>
  <c r="U48" i="3" s="1"/>
  <c r="AW63" i="9"/>
  <c r="AN28" i="5"/>
  <c r="AE34" i="5" l="1"/>
  <c r="AH34" i="5"/>
  <c r="AH35" i="5" s="1"/>
  <c r="AA35" i="5"/>
  <c r="AJ35" i="5"/>
  <c r="AA34" i="5"/>
  <c r="AB34" i="5"/>
  <c r="AF3" i="7" s="1"/>
  <c r="AI35" i="5"/>
  <c r="AK34" i="5"/>
  <c r="AK35" i="5" s="1"/>
  <c r="F31" i="7"/>
  <c r="F38" i="7"/>
  <c r="F30" i="7"/>
  <c r="F24" i="7"/>
  <c r="F32" i="7"/>
  <c r="F33" i="7"/>
  <c r="F41" i="7"/>
  <c r="F44" i="7"/>
  <c r="F28" i="7"/>
  <c r="F47" i="7"/>
  <c r="F34" i="7"/>
  <c r="F48" i="7"/>
  <c r="F22" i="7"/>
  <c r="F35" i="7"/>
  <c r="F23" i="7"/>
  <c r="F29" i="7"/>
  <c r="F40" i="7"/>
  <c r="F25" i="7"/>
  <c r="F39" i="7"/>
  <c r="F46" i="7"/>
  <c r="F43" i="7"/>
  <c r="F49" i="7"/>
  <c r="F37" i="7"/>
  <c r="F45" i="7"/>
  <c r="F27" i="7"/>
  <c r="F36" i="7"/>
  <c r="F42" i="7"/>
  <c r="F26" i="7"/>
  <c r="AP47" i="9"/>
  <c r="AP34" i="9" l="1"/>
  <c r="G46" i="3"/>
  <c r="AB38" i="3" l="1"/>
  <c r="P38" i="3"/>
  <c r="I38" i="3"/>
  <c r="N38" i="3"/>
  <c r="X38" i="3"/>
  <c r="H38" i="3"/>
  <c r="K38" i="3"/>
  <c r="M11" i="9" s="1"/>
  <c r="Y38" i="3"/>
  <c r="Z38" i="3"/>
  <c r="Q38" i="3"/>
  <c r="W38" i="3"/>
  <c r="E38" i="3"/>
  <c r="G11" i="9" s="1"/>
  <c r="AA38" i="3"/>
  <c r="M38" i="3"/>
  <c r="L38" i="3"/>
  <c r="R38" i="3"/>
  <c r="F38" i="3"/>
  <c r="G38" i="3"/>
  <c r="V38" i="3"/>
  <c r="D38" i="3"/>
  <c r="J17" i="7" l="1"/>
  <c r="AF2" i="7"/>
  <c r="J37" i="5"/>
  <c r="AA37" i="5" s="1"/>
  <c r="AA40" i="5" s="1"/>
  <c r="AA41" i="5" s="1"/>
  <c r="J11" i="9"/>
  <c r="G34" i="6"/>
  <c r="P34" i="6" s="1"/>
  <c r="P37" i="6" s="1"/>
  <c r="Y11" i="9"/>
  <c r="L37" i="5"/>
  <c r="AC37" i="5" s="1"/>
  <c r="AC40" i="5" s="1"/>
  <c r="AC41" i="5" s="1"/>
  <c r="AC42" i="5" s="1"/>
  <c r="Q37" i="5"/>
  <c r="Q11" i="9"/>
  <c r="K37" i="5"/>
  <c r="AB37" i="5" s="1"/>
  <c r="AB40" i="5" s="1"/>
  <c r="K11" i="9"/>
  <c r="K34" i="6"/>
  <c r="T34" i="6" s="1"/>
  <c r="T37" i="6" s="1"/>
  <c r="T38" i="6" s="1"/>
  <c r="AC11" i="9"/>
  <c r="I34" i="6"/>
  <c r="R34" i="6" s="1"/>
  <c r="R37" i="6" s="1"/>
  <c r="AA11" i="9"/>
  <c r="P37" i="5"/>
  <c r="AG37" i="5" s="1"/>
  <c r="AG40" i="5" s="1"/>
  <c r="AG41" i="5" s="1"/>
  <c r="AG42" i="5" s="1"/>
  <c r="P11" i="9"/>
  <c r="J34" i="6"/>
  <c r="S34" i="6" s="1"/>
  <c r="S37" i="6" s="1"/>
  <c r="AB11" i="9"/>
  <c r="AP43" i="9"/>
  <c r="AR43" i="9"/>
  <c r="AR31" i="9" s="1"/>
  <c r="E48" i="3" s="1"/>
  <c r="AV43" i="9"/>
  <c r="AS43" i="9"/>
  <c r="AS31" i="9" s="1"/>
  <c r="E49" i="3" s="1"/>
  <c r="AW43" i="9"/>
  <c r="AX43" i="9"/>
  <c r="AQ43" i="9"/>
  <c r="AU43" i="9"/>
  <c r="AT43" i="9"/>
  <c r="H34" i="6"/>
  <c r="Q34" i="6" s="1"/>
  <c r="Q37" i="6" s="1"/>
  <c r="Z11" i="9"/>
  <c r="I37" i="5"/>
  <c r="F11" i="9"/>
  <c r="I11" i="9"/>
  <c r="L11" i="9"/>
  <c r="S37" i="5"/>
  <c r="AJ37" i="5" s="1"/>
  <c r="AJ40" i="5" s="1"/>
  <c r="AJ41" i="5" s="1"/>
  <c r="AJ42" i="5" s="1"/>
  <c r="U11" i="9"/>
  <c r="R37" i="5"/>
  <c r="S11" i="9"/>
  <c r="AQ57" i="9" s="1"/>
  <c r="F34" i="6"/>
  <c r="O34" i="6" s="1"/>
  <c r="O37" i="6" s="1"/>
  <c r="X11" i="9"/>
  <c r="AV51" i="9"/>
  <c r="K52" i="3" s="1"/>
  <c r="AX51" i="9"/>
  <c r="K54" i="3" s="1"/>
  <c r="AP51" i="9"/>
  <c r="K46" i="3" s="1"/>
  <c r="AS51" i="9"/>
  <c r="K49" i="3" s="1"/>
  <c r="AU51" i="9"/>
  <c r="K51" i="3" s="1"/>
  <c r="AW51" i="9"/>
  <c r="K53" i="3" s="1"/>
  <c r="AT51" i="9"/>
  <c r="K50" i="3" s="1"/>
  <c r="AQ51" i="9"/>
  <c r="K47" i="3" s="1"/>
  <c r="AR51" i="9"/>
  <c r="K48" i="3" s="1"/>
  <c r="F37" i="5"/>
  <c r="E34" i="6"/>
  <c r="W11" i="9"/>
  <c r="T37" i="5"/>
  <c r="AK37" i="5" s="1"/>
  <c r="AK40" i="5" s="1"/>
  <c r="AK41" i="5" s="1"/>
  <c r="H11" i="9"/>
  <c r="N37" i="5"/>
  <c r="AE37" i="5" s="1"/>
  <c r="AE40" i="5" s="1"/>
  <c r="AE41" i="5" s="1"/>
  <c r="AE42" i="5" s="1"/>
  <c r="N11" i="9"/>
  <c r="M37" i="5"/>
  <c r="AD37" i="5" s="1"/>
  <c r="AD40" i="5" s="1"/>
  <c r="AM40" i="5" s="1"/>
  <c r="T11" i="9"/>
  <c r="E38" i="7" l="1"/>
  <c r="E35" i="7"/>
  <c r="E24" i="7"/>
  <c r="E23" i="7"/>
  <c r="E40" i="7"/>
  <c r="E31" i="7"/>
  <c r="E49" i="7"/>
  <c r="E42" i="7"/>
  <c r="E21" i="7"/>
  <c r="G21" i="7" s="1"/>
  <c r="T21" i="7" s="1"/>
  <c r="E39" i="7"/>
  <c r="E43" i="7"/>
  <c r="E26" i="7"/>
  <c r="E48" i="7"/>
  <c r="E27" i="7"/>
  <c r="E41" i="7"/>
  <c r="E30" i="7"/>
  <c r="E46" i="7"/>
  <c r="E33" i="7"/>
  <c r="E29" i="7"/>
  <c r="E34" i="7"/>
  <c r="E22" i="7"/>
  <c r="E47" i="7"/>
  <c r="E36" i="7"/>
  <c r="E45" i="7"/>
  <c r="E25" i="7"/>
  <c r="E32" i="7"/>
  <c r="E44" i="7"/>
  <c r="E28" i="7"/>
  <c r="E37" i="7"/>
  <c r="AR46" i="9"/>
  <c r="AB41" i="5"/>
  <c r="AB42" i="5" s="1"/>
  <c r="AK43" i="5"/>
  <c r="AP52" i="9"/>
  <c r="AR52" i="9"/>
  <c r="AR36" i="9" s="1"/>
  <c r="L48" i="3" s="1"/>
  <c r="AQ52" i="9"/>
  <c r="AT52" i="9"/>
  <c r="AV52" i="9"/>
  <c r="AS52" i="9"/>
  <c r="AS36" i="9" s="1"/>
  <c r="L49" i="3" s="1"/>
  <c r="AX52" i="9"/>
  <c r="AW52" i="9"/>
  <c r="AU52" i="9"/>
  <c r="AX42" i="9"/>
  <c r="AX28" i="9" s="1"/>
  <c r="BH37" i="9" s="1"/>
  <c r="AW42" i="9"/>
  <c r="AW28" i="9" s="1"/>
  <c r="BG37" i="9" s="1"/>
  <c r="AP42" i="9"/>
  <c r="AP28" i="9" s="1"/>
  <c r="AZ37" i="9" s="1"/>
  <c r="AS42" i="9"/>
  <c r="AR42" i="9"/>
  <c r="AQ42" i="9"/>
  <c r="AQ28" i="9" s="1"/>
  <c r="BA37" i="9" s="1"/>
  <c r="AT42" i="9"/>
  <c r="AT28" i="9" s="1"/>
  <c r="BD37" i="9" s="1"/>
  <c r="AV42" i="9"/>
  <c r="AV28" i="9" s="1"/>
  <c r="BF37" i="9" s="1"/>
  <c r="AU42" i="9"/>
  <c r="AU28" i="9" s="1"/>
  <c r="BE37" i="9" s="1"/>
  <c r="AQ55" i="9"/>
  <c r="AW55" i="9"/>
  <c r="AS55" i="9"/>
  <c r="BC26" i="9" s="1"/>
  <c r="N49" i="3" s="1"/>
  <c r="AX55" i="9"/>
  <c r="AV55" i="9"/>
  <c r="AR55" i="9"/>
  <c r="BB26" i="9" s="1"/>
  <c r="AP55" i="9"/>
  <c r="AU55" i="9"/>
  <c r="AT55" i="9"/>
  <c r="AD41" i="5"/>
  <c r="AM42" i="5"/>
  <c r="AN37" i="5"/>
  <c r="Y37" i="5"/>
  <c r="Y40" i="5" s="1"/>
  <c r="AH37" i="5"/>
  <c r="AH40" i="5" s="1"/>
  <c r="AI37" i="5"/>
  <c r="AI40" i="5" s="1"/>
  <c r="AI41" i="5" s="1"/>
  <c r="AI42" i="5" s="1"/>
  <c r="AS46" i="9"/>
  <c r="AT44" i="9"/>
  <c r="AT34" i="9" s="1"/>
  <c r="AP44" i="9"/>
  <c r="AP45" i="9" s="1"/>
  <c r="F46" i="3" s="1"/>
  <c r="AU44" i="9"/>
  <c r="AU34" i="9" s="1"/>
  <c r="AR44" i="9"/>
  <c r="AR45" i="9" s="1"/>
  <c r="F48" i="3" s="1"/>
  <c r="AS44" i="9"/>
  <c r="AS45" i="9" s="1"/>
  <c r="F49" i="3" s="1"/>
  <c r="AQ44" i="9"/>
  <c r="AQ34" i="9" s="1"/>
  <c r="AW44" i="9"/>
  <c r="AW34" i="9" s="1"/>
  <c r="AV44" i="9"/>
  <c r="AV34" i="9" s="1"/>
  <c r="AX44" i="9"/>
  <c r="AX34" i="9" s="1"/>
  <c r="AV69" i="9"/>
  <c r="AT69" i="9"/>
  <c r="AU69" i="9"/>
  <c r="AA51" i="3" s="1"/>
  <c r="AR69" i="9"/>
  <c r="AW69" i="9"/>
  <c r="AS69" i="9"/>
  <c r="AX69" i="9"/>
  <c r="AQ69" i="9"/>
  <c r="AA47" i="3" s="1"/>
  <c r="AP69" i="9"/>
  <c r="AX67" i="9"/>
  <c r="AT67" i="9"/>
  <c r="AS67" i="9"/>
  <c r="BC33" i="9" s="1"/>
  <c r="Y49" i="3" s="1"/>
  <c r="AV67" i="9"/>
  <c r="AP67" i="9"/>
  <c r="AU67" i="9"/>
  <c r="AQ67" i="9"/>
  <c r="AW67" i="9"/>
  <c r="AR67" i="9"/>
  <c r="BB33" i="9" s="1"/>
  <c r="Y48" i="3" s="1"/>
  <c r="S38" i="6"/>
  <c r="S40" i="6"/>
  <c r="AW54" i="9"/>
  <c r="AT54" i="9"/>
  <c r="AU54" i="9"/>
  <c r="AV54" i="9"/>
  <c r="AQ54" i="9"/>
  <c r="AS54" i="9"/>
  <c r="AS35" i="9" s="1"/>
  <c r="AX54" i="9"/>
  <c r="AP54" i="9"/>
  <c r="AR54" i="9"/>
  <c r="AR35" i="9" s="1"/>
  <c r="M48" i="3" s="1"/>
  <c r="AF47" i="5"/>
  <c r="AF48" i="5" s="1"/>
  <c r="AT64" i="9"/>
  <c r="AV64" i="9"/>
  <c r="AS64" i="9"/>
  <c r="BC30" i="9" s="1"/>
  <c r="V49" i="3" s="1"/>
  <c r="AU64" i="9"/>
  <c r="AX64" i="9"/>
  <c r="AW64" i="9"/>
  <c r="AQ64" i="9"/>
  <c r="AR64" i="9"/>
  <c r="BB30" i="9" s="1"/>
  <c r="V48" i="3" s="1"/>
  <c r="AP64" i="9"/>
  <c r="AU66" i="9"/>
  <c r="AW66" i="9"/>
  <c r="AX66" i="9"/>
  <c r="AS66" i="9"/>
  <c r="BC32" i="9" s="1"/>
  <c r="X49" i="3" s="1"/>
  <c r="AP66" i="9"/>
  <c r="AQ66" i="9"/>
  <c r="AT66" i="9"/>
  <c r="AV66" i="9"/>
  <c r="AR66" i="9"/>
  <c r="BB32" i="9" s="1"/>
  <c r="X48" i="3" s="1"/>
  <c r="AU65" i="9"/>
  <c r="AT65" i="9"/>
  <c r="AP65" i="9"/>
  <c r="AR65" i="9"/>
  <c r="BB31" i="9" s="1"/>
  <c r="W48" i="3" s="1"/>
  <c r="AW65" i="9"/>
  <c r="AQ65" i="9"/>
  <c r="AS65" i="9"/>
  <c r="BC31" i="9" s="1"/>
  <c r="W49" i="3" s="1"/>
  <c r="AX65" i="9"/>
  <c r="AV65" i="9"/>
  <c r="AU57" i="9"/>
  <c r="AX57" i="9"/>
  <c r="AS57" i="9"/>
  <c r="BC27" i="9" s="1"/>
  <c r="P49" i="3" s="1"/>
  <c r="AW57" i="9"/>
  <c r="AV57" i="9"/>
  <c r="AT57" i="9"/>
  <c r="AP57" i="9"/>
  <c r="AR57" i="9"/>
  <c r="BB27" i="9" s="1"/>
  <c r="P48" i="3" s="1"/>
  <c r="P38" i="6"/>
  <c r="P40" i="6"/>
  <c r="P39" i="6"/>
  <c r="AS68" i="9"/>
  <c r="BC34" i="9" s="1"/>
  <c r="Z49" i="3" s="1"/>
  <c r="AW68" i="9"/>
  <c r="AU68" i="9"/>
  <c r="AV68" i="9"/>
  <c r="AQ68" i="9"/>
  <c r="AX68" i="9"/>
  <c r="AT68" i="9"/>
  <c r="AP68" i="9"/>
  <c r="AR68" i="9"/>
  <c r="BB34" i="9" s="1"/>
  <c r="Z48" i="3" s="1"/>
  <c r="AX48" i="9"/>
  <c r="AX29" i="9" s="1"/>
  <c r="AV48" i="9"/>
  <c r="AV29" i="9" s="1"/>
  <c r="AR48" i="9"/>
  <c r="AP48" i="9"/>
  <c r="AP29" i="9" s="1"/>
  <c r="AW48" i="9"/>
  <c r="AW29" i="9" s="1"/>
  <c r="AT48" i="9"/>
  <c r="AT29" i="9" s="1"/>
  <c r="AQ48" i="9"/>
  <c r="AQ29" i="9" s="1"/>
  <c r="AU48" i="9"/>
  <c r="AU29" i="9" s="1"/>
  <c r="AS48" i="9"/>
  <c r="R38" i="6"/>
  <c r="R39" i="6"/>
  <c r="R40" i="6"/>
  <c r="AJ43" i="5"/>
  <c r="AA42" i="5"/>
  <c r="AA43" i="5"/>
  <c r="AP58" i="9"/>
  <c r="AP50" i="9" s="1"/>
  <c r="AP38" i="9" s="1"/>
  <c r="AW58" i="9"/>
  <c r="AW50" i="9" s="1"/>
  <c r="AW38" i="9" s="1"/>
  <c r="AS58" i="9"/>
  <c r="AT58" i="9"/>
  <c r="AT50" i="9" s="1"/>
  <c r="AT38" i="9" s="1"/>
  <c r="AQ58" i="9"/>
  <c r="AX58" i="9"/>
  <c r="AX50" i="9" s="1"/>
  <c r="AX38" i="9" s="1"/>
  <c r="AV58" i="9"/>
  <c r="AV50" i="9" s="1"/>
  <c r="AV38" i="9" s="1"/>
  <c r="AR58" i="9"/>
  <c r="AU58" i="9"/>
  <c r="AU50" i="9" s="1"/>
  <c r="AU38" i="9" s="1"/>
  <c r="AX49" i="9"/>
  <c r="AW49" i="9"/>
  <c r="AS49" i="9"/>
  <c r="AS33" i="9" s="1"/>
  <c r="I49" i="3" s="1"/>
  <c r="AP49" i="9"/>
  <c r="AV49" i="9"/>
  <c r="AR49" i="9"/>
  <c r="AR33" i="9" s="1"/>
  <c r="I48" i="3" s="1"/>
  <c r="AT49" i="9"/>
  <c r="AU49" i="9"/>
  <c r="AQ49" i="9"/>
  <c r="Q38" i="6"/>
  <c r="Q39" i="6"/>
  <c r="Q40" i="6"/>
  <c r="O38" i="6"/>
  <c r="O39" i="6"/>
  <c r="O40" i="6"/>
  <c r="U34" i="6"/>
  <c r="N34" i="6"/>
  <c r="N37" i="6" s="1"/>
  <c r="AV60" i="9"/>
  <c r="AX60" i="9"/>
  <c r="AQ60" i="9"/>
  <c r="AT60" i="9"/>
  <c r="AU60" i="9"/>
  <c r="AR60" i="9"/>
  <c r="BB29" i="9" s="1"/>
  <c r="AS60" i="9"/>
  <c r="BC29" i="9" s="1"/>
  <c r="AP60" i="9"/>
  <c r="AW60" i="9"/>
  <c r="AW70" i="9"/>
  <c r="AV70" i="9"/>
  <c r="AR70" i="9"/>
  <c r="BB35" i="9" s="1"/>
  <c r="AB48" i="3" s="1"/>
  <c r="AQ70" i="9"/>
  <c r="AP70" i="9"/>
  <c r="AU70" i="9"/>
  <c r="AT70" i="9"/>
  <c r="AS70" i="9"/>
  <c r="BC35" i="9" s="1"/>
  <c r="AB49" i="3" s="1"/>
  <c r="AX70" i="9"/>
  <c r="L21" i="7" l="1"/>
  <c r="I21" i="7"/>
  <c r="AQ50" i="9"/>
  <c r="AQ38" i="9" s="1"/>
  <c r="L45" i="7"/>
  <c r="G45" i="7"/>
  <c r="L36" i="7"/>
  <c r="G36" i="7"/>
  <c r="L43" i="7"/>
  <c r="G43" i="7"/>
  <c r="L26" i="7"/>
  <c r="G26" i="7"/>
  <c r="L47" i="7"/>
  <c r="G47" i="7"/>
  <c r="L39" i="7"/>
  <c r="G39" i="7"/>
  <c r="L22" i="7"/>
  <c r="G22" i="7"/>
  <c r="Q22" i="7" s="1"/>
  <c r="L34" i="7"/>
  <c r="G34" i="7"/>
  <c r="L42" i="7"/>
  <c r="G42" i="7"/>
  <c r="L29" i="7"/>
  <c r="G29" i="7"/>
  <c r="L49" i="7"/>
  <c r="G49" i="7"/>
  <c r="L33" i="7"/>
  <c r="G33" i="7"/>
  <c r="L31" i="7"/>
  <c r="G31" i="7"/>
  <c r="L37" i="7"/>
  <c r="G37" i="7"/>
  <c r="L46" i="7"/>
  <c r="G46" i="7"/>
  <c r="L40" i="7"/>
  <c r="G40" i="7"/>
  <c r="L28" i="7"/>
  <c r="G28" i="7"/>
  <c r="L30" i="7"/>
  <c r="G30" i="7"/>
  <c r="L23" i="7"/>
  <c r="G23" i="7"/>
  <c r="L44" i="7"/>
  <c r="G44" i="7"/>
  <c r="L41" i="7"/>
  <c r="G41" i="7"/>
  <c r="L24" i="7"/>
  <c r="G24" i="7"/>
  <c r="L32" i="7"/>
  <c r="G32" i="7"/>
  <c r="L27" i="7"/>
  <c r="G27" i="7"/>
  <c r="L35" i="7"/>
  <c r="G35" i="7"/>
  <c r="L25" i="7"/>
  <c r="G25" i="7"/>
  <c r="L48" i="7"/>
  <c r="G48" i="7"/>
  <c r="L38" i="7"/>
  <c r="G38" i="7"/>
  <c r="R49" i="3"/>
  <c r="AS61" i="9"/>
  <c r="R48" i="3"/>
  <c r="AR61" i="9"/>
  <c r="AS56" i="9"/>
  <c r="O49" i="3" s="1"/>
  <c r="AR56" i="9"/>
  <c r="O48" i="3" s="1"/>
  <c r="AR47" i="9"/>
  <c r="N48" i="3"/>
  <c r="J49" i="3"/>
  <c r="M49" i="3"/>
  <c r="J48" i="3"/>
  <c r="AC47" i="5"/>
  <c r="AC48" i="5" s="1"/>
  <c r="AA47" i="5"/>
  <c r="AA48" i="5" s="1"/>
  <c r="AE47" i="5"/>
  <c r="AE48" i="5" s="1"/>
  <c r="AS47" i="9"/>
  <c r="AS29" i="9"/>
  <c r="AS32" i="9"/>
  <c r="H49" i="3" s="1"/>
  <c r="BC28" i="9"/>
  <c r="AS50" i="9"/>
  <c r="AS38" i="9" s="1"/>
  <c r="AS59" i="9"/>
  <c r="AH41" i="5"/>
  <c r="AH42" i="5" s="1"/>
  <c r="AH43" i="5"/>
  <c r="AR29" i="9"/>
  <c r="AR32" i="9"/>
  <c r="H48" i="3" s="1"/>
  <c r="AB47" i="5"/>
  <c r="AB48" i="5" s="1"/>
  <c r="AF43" i="5"/>
  <c r="Y42" i="5"/>
  <c r="Y41" i="5"/>
  <c r="Y43" i="5"/>
  <c r="AM47" i="5" s="1"/>
  <c r="AD42" i="5"/>
  <c r="E14" i="12"/>
  <c r="AC43" i="5"/>
  <c r="AR28" i="9"/>
  <c r="BB37" i="9" s="1"/>
  <c r="AR30" i="9"/>
  <c r="D48" i="3" s="1"/>
  <c r="N40" i="6"/>
  <c r="N38" i="6"/>
  <c r="N39" i="6"/>
  <c r="AS28" i="9"/>
  <c r="BC37" i="9" s="1"/>
  <c r="AS30" i="9"/>
  <c r="D49" i="3" s="1"/>
  <c r="AD47" i="5"/>
  <c r="AD48" i="5" s="1"/>
  <c r="AH47" i="5"/>
  <c r="AH48" i="5" s="1"/>
  <c r="AR59" i="9"/>
  <c r="AR50" i="9"/>
  <c r="AR38" i="9" s="1"/>
  <c r="BB28" i="9"/>
  <c r="AB38" i="7" l="1"/>
  <c r="U38" i="7"/>
  <c r="Z38" i="7"/>
  <c r="S38" i="7"/>
  <c r="M38" i="7" s="1"/>
  <c r="AA38" i="7"/>
  <c r="X38" i="7"/>
  <c r="Y38" i="7"/>
  <c r="R38" i="7"/>
  <c r="Q38" i="7"/>
  <c r="T38" i="7"/>
  <c r="AC38" i="7"/>
  <c r="AD38" i="7" s="1"/>
  <c r="O38" i="7"/>
  <c r="P38" i="7"/>
  <c r="I38" i="7"/>
  <c r="N38" i="7" s="1"/>
  <c r="AE38" i="7"/>
  <c r="W38" i="7"/>
  <c r="AB24" i="7"/>
  <c r="Z24" i="7"/>
  <c r="AC24" i="7"/>
  <c r="AD24" i="7" s="1"/>
  <c r="S24" i="7"/>
  <c r="M24" i="7" s="1"/>
  <c r="R24" i="7"/>
  <c r="P24" i="7"/>
  <c r="Y24" i="7"/>
  <c r="Q24" i="7"/>
  <c r="I24" i="7"/>
  <c r="N24" i="7" s="1"/>
  <c r="T24" i="7"/>
  <c r="W24" i="7"/>
  <c r="X24" i="7"/>
  <c r="AA24" i="7"/>
  <c r="U24" i="7"/>
  <c r="O24" i="7"/>
  <c r="AE24" i="7"/>
  <c r="AB40" i="7"/>
  <c r="O40" i="7"/>
  <c r="W40" i="7"/>
  <c r="S40" i="7"/>
  <c r="M40" i="7" s="1"/>
  <c r="AC40" i="7"/>
  <c r="AD40" i="7" s="1"/>
  <c r="AA40" i="7"/>
  <c r="T40" i="7"/>
  <c r="P40" i="7"/>
  <c r="Y40" i="7"/>
  <c r="X40" i="7"/>
  <c r="U40" i="7"/>
  <c r="R40" i="7"/>
  <c r="AE40" i="7"/>
  <c r="Z40" i="7"/>
  <c r="Q40" i="7"/>
  <c r="I40" i="7"/>
  <c r="N40" i="7" s="1"/>
  <c r="AB29" i="7"/>
  <c r="X29" i="7"/>
  <c r="T29" i="7"/>
  <c r="AE29" i="7"/>
  <c r="P29" i="7"/>
  <c r="Y29" i="7"/>
  <c r="W29" i="7"/>
  <c r="U29" i="7"/>
  <c r="R29" i="7"/>
  <c r="I29" i="7"/>
  <c r="N29" i="7" s="1"/>
  <c r="Z29" i="7"/>
  <c r="Q29" i="7"/>
  <c r="O29" i="7"/>
  <c r="AA29" i="7"/>
  <c r="AC29" i="7"/>
  <c r="AD29" i="7" s="1"/>
  <c r="S29" i="7"/>
  <c r="M29" i="7" s="1"/>
  <c r="AB47" i="7"/>
  <c r="P47" i="7"/>
  <c r="O47" i="7"/>
  <c r="AC47" i="7"/>
  <c r="AD47" i="7" s="1"/>
  <c r="AA47" i="7"/>
  <c r="S47" i="7"/>
  <c r="M47" i="7" s="1"/>
  <c r="AE47" i="7"/>
  <c r="R47" i="7"/>
  <c r="Z47" i="7"/>
  <c r="I47" i="7"/>
  <c r="N47" i="7" s="1"/>
  <c r="X47" i="7"/>
  <c r="Y47" i="7"/>
  <c r="Q47" i="7"/>
  <c r="U47" i="7"/>
  <c r="T47" i="7"/>
  <c r="W47" i="7"/>
  <c r="AB48" i="7"/>
  <c r="AA48" i="7"/>
  <c r="P48" i="7"/>
  <c r="Y48" i="7"/>
  <c r="AE48" i="7"/>
  <c r="W48" i="7"/>
  <c r="Z48" i="7"/>
  <c r="AC48" i="7"/>
  <c r="AD48" i="7" s="1"/>
  <c r="U48" i="7"/>
  <c r="T48" i="7"/>
  <c r="Q48" i="7"/>
  <c r="S48" i="7"/>
  <c r="M48" i="7" s="1"/>
  <c r="I48" i="7"/>
  <c r="N48" i="7" s="1"/>
  <c r="O48" i="7"/>
  <c r="X48" i="7"/>
  <c r="R48" i="7"/>
  <c r="AB26" i="7"/>
  <c r="Z26" i="7"/>
  <c r="O26" i="7"/>
  <c r="AC26" i="7"/>
  <c r="AD26" i="7" s="1"/>
  <c r="U26" i="7"/>
  <c r="Y26" i="7"/>
  <c r="AA26" i="7"/>
  <c r="R26" i="7"/>
  <c r="S26" i="7"/>
  <c r="M26" i="7" s="1"/>
  <c r="I26" i="7"/>
  <c r="N26" i="7" s="1"/>
  <c r="Q26" i="7"/>
  <c r="P26" i="7"/>
  <c r="W26" i="7"/>
  <c r="AE26" i="7"/>
  <c r="X26" i="7"/>
  <c r="T26" i="7"/>
  <c r="AB25" i="7"/>
  <c r="Z25" i="7"/>
  <c r="AA25" i="7"/>
  <c r="P25" i="7"/>
  <c r="Q25" i="7"/>
  <c r="R25" i="7"/>
  <c r="S25" i="7"/>
  <c r="M25" i="7" s="1"/>
  <c r="AE25" i="7"/>
  <c r="W25" i="7"/>
  <c r="X25" i="7"/>
  <c r="T25" i="7"/>
  <c r="O25" i="7"/>
  <c r="AC25" i="7"/>
  <c r="AD25" i="7" s="1"/>
  <c r="U25" i="7"/>
  <c r="Y25" i="7"/>
  <c r="I25" i="7"/>
  <c r="N25" i="7" s="1"/>
  <c r="Y44" i="7"/>
  <c r="P44" i="7"/>
  <c r="AE44" i="7"/>
  <c r="AB44" i="7"/>
  <c r="X44" i="7"/>
  <c r="W44" i="7"/>
  <c r="Q44" i="7"/>
  <c r="T44" i="7"/>
  <c r="AA44" i="7"/>
  <c r="Z44" i="7"/>
  <c r="S44" i="7"/>
  <c r="M44" i="7" s="1"/>
  <c r="I44" i="7"/>
  <c r="N44" i="7" s="1"/>
  <c r="U44" i="7"/>
  <c r="R44" i="7"/>
  <c r="O44" i="7"/>
  <c r="AC44" i="7"/>
  <c r="AD44" i="7" s="1"/>
  <c r="AB37" i="7"/>
  <c r="AC37" i="7"/>
  <c r="AD37" i="7" s="1"/>
  <c r="T37" i="7"/>
  <c r="Z37" i="7"/>
  <c r="U37" i="7"/>
  <c r="AA37" i="7"/>
  <c r="Q37" i="7"/>
  <c r="R37" i="7"/>
  <c r="P37" i="7"/>
  <c r="O37" i="7"/>
  <c r="X37" i="7"/>
  <c r="I37" i="7"/>
  <c r="N37" i="7" s="1"/>
  <c r="Y37" i="7"/>
  <c r="S37" i="7"/>
  <c r="M37" i="7" s="1"/>
  <c r="W37" i="7"/>
  <c r="AE37" i="7"/>
  <c r="AB34" i="7"/>
  <c r="AC34" i="7"/>
  <c r="AD34" i="7" s="1"/>
  <c r="R34" i="7"/>
  <c r="U34" i="7"/>
  <c r="X34" i="7"/>
  <c r="S34" i="7"/>
  <c r="M34" i="7" s="1"/>
  <c r="W34" i="7"/>
  <c r="P34" i="7"/>
  <c r="T34" i="7"/>
  <c r="I34" i="7"/>
  <c r="N34" i="7" s="1"/>
  <c r="Z34" i="7"/>
  <c r="AE34" i="7"/>
  <c r="O34" i="7"/>
  <c r="Y34" i="7"/>
  <c r="Q34" i="7"/>
  <c r="AA34" i="7"/>
  <c r="AB43" i="7"/>
  <c r="AA43" i="7"/>
  <c r="R43" i="7"/>
  <c r="W43" i="7"/>
  <c r="Y43" i="7"/>
  <c r="O43" i="7"/>
  <c r="S43" i="7"/>
  <c r="M43" i="7" s="1"/>
  <c r="AE43" i="7"/>
  <c r="AC43" i="7"/>
  <c r="AD43" i="7" s="1"/>
  <c r="X43" i="7"/>
  <c r="Q43" i="7"/>
  <c r="P43" i="7"/>
  <c r="U43" i="7"/>
  <c r="I43" i="7"/>
  <c r="N43" i="7" s="1"/>
  <c r="Z43" i="7"/>
  <c r="T43" i="7"/>
  <c r="AB32" i="7"/>
  <c r="R32" i="7"/>
  <c r="X32" i="7"/>
  <c r="Y32" i="7"/>
  <c r="Q32" i="7"/>
  <c r="AA32" i="7"/>
  <c r="Z32" i="7"/>
  <c r="O32" i="7"/>
  <c r="T32" i="7"/>
  <c r="W32" i="7"/>
  <c r="U32" i="7"/>
  <c r="P32" i="7"/>
  <c r="I32" i="7"/>
  <c r="N32" i="7" s="1"/>
  <c r="AE32" i="7"/>
  <c r="S32" i="7"/>
  <c r="M32" i="7" s="1"/>
  <c r="AC32" i="7"/>
  <c r="AD32" i="7" s="1"/>
  <c r="AB41" i="7"/>
  <c r="I41" i="7"/>
  <c r="N41" i="7" s="1"/>
  <c r="AE41" i="7"/>
  <c r="R41" i="7"/>
  <c r="Q41" i="7"/>
  <c r="S41" i="7"/>
  <c r="M41" i="7" s="1"/>
  <c r="AC41" i="7"/>
  <c r="AD41" i="7" s="1"/>
  <c r="Y41" i="7"/>
  <c r="U41" i="7"/>
  <c r="P41" i="7"/>
  <c r="AA41" i="7"/>
  <c r="T41" i="7"/>
  <c r="W41" i="7"/>
  <c r="Z41" i="7"/>
  <c r="O41" i="7"/>
  <c r="X41" i="7"/>
  <c r="AB35" i="7"/>
  <c r="U35" i="7"/>
  <c r="I35" i="7"/>
  <c r="N35" i="7" s="1"/>
  <c r="R35" i="7"/>
  <c r="AA35" i="7"/>
  <c r="W35" i="7"/>
  <c r="T35" i="7"/>
  <c r="AE35" i="7"/>
  <c r="Q35" i="7"/>
  <c r="O35" i="7"/>
  <c r="X35" i="7"/>
  <c r="Z35" i="7"/>
  <c r="S35" i="7"/>
  <c r="M35" i="7" s="1"/>
  <c r="P35" i="7"/>
  <c r="AC35" i="7"/>
  <c r="AD35" i="7" s="1"/>
  <c r="Y35" i="7"/>
  <c r="X23" i="7"/>
  <c r="AC23" i="7"/>
  <c r="AD23" i="7" s="1"/>
  <c r="O23" i="7"/>
  <c r="S23" i="7"/>
  <c r="M23" i="7" s="1"/>
  <c r="Q23" i="7"/>
  <c r="AE23" i="7"/>
  <c r="T23" i="7"/>
  <c r="AB23" i="7"/>
  <c r="U23" i="7"/>
  <c r="R23" i="7"/>
  <c r="I23" i="7"/>
  <c r="N23" i="7" s="1"/>
  <c r="AA23" i="7"/>
  <c r="W23" i="7"/>
  <c r="Z23" i="7"/>
  <c r="Y23" i="7"/>
  <c r="P23" i="7"/>
  <c r="AB31" i="7"/>
  <c r="U31" i="7"/>
  <c r="AC31" i="7"/>
  <c r="AD31" i="7" s="1"/>
  <c r="R31" i="7"/>
  <c r="P31" i="7"/>
  <c r="Z31" i="7"/>
  <c r="I31" i="7"/>
  <c r="N31" i="7" s="1"/>
  <c r="O31" i="7"/>
  <c r="AA31" i="7"/>
  <c r="T31" i="7"/>
  <c r="Y31" i="7"/>
  <c r="Q31" i="7"/>
  <c r="W31" i="7"/>
  <c r="S31" i="7"/>
  <c r="M31" i="7" s="1"/>
  <c r="AE31" i="7"/>
  <c r="X31" i="7"/>
  <c r="X21" i="7"/>
  <c r="Y21" i="7"/>
  <c r="R21" i="7"/>
  <c r="W21" i="7"/>
  <c r="O21" i="7"/>
  <c r="U21" i="7"/>
  <c r="AE21" i="7"/>
  <c r="AA21" i="7"/>
  <c r="N21" i="7"/>
  <c r="AF21" i="7" s="1"/>
  <c r="S21" i="7"/>
  <c r="M21" i="7" s="1"/>
  <c r="Q21" i="7"/>
  <c r="AB21" i="7"/>
  <c r="Z21" i="7"/>
  <c r="AC21" i="7"/>
  <c r="AD21" i="7" s="1"/>
  <c r="P21" i="7"/>
  <c r="AB36" i="7"/>
  <c r="AC36" i="7"/>
  <c r="AD36" i="7" s="1"/>
  <c r="AA36" i="7"/>
  <c r="T36" i="7"/>
  <c r="I36" i="7"/>
  <c r="N36" i="7" s="1"/>
  <c r="Z36" i="7"/>
  <c r="O36" i="7"/>
  <c r="W36" i="7"/>
  <c r="Y36" i="7"/>
  <c r="X36" i="7"/>
  <c r="Q36" i="7"/>
  <c r="P36" i="7"/>
  <c r="AE36" i="7"/>
  <c r="R36" i="7"/>
  <c r="U36" i="7"/>
  <c r="S36" i="7"/>
  <c r="M36" i="7" s="1"/>
  <c r="AB28" i="7"/>
  <c r="AA28" i="7"/>
  <c r="T28" i="7"/>
  <c r="W28" i="7"/>
  <c r="I28" i="7"/>
  <c r="N28" i="7" s="1"/>
  <c r="Y28" i="7"/>
  <c r="AC28" i="7"/>
  <c r="AD28" i="7" s="1"/>
  <c r="Z28" i="7"/>
  <c r="R28" i="7"/>
  <c r="S28" i="7"/>
  <c r="M28" i="7" s="1"/>
  <c r="X28" i="7"/>
  <c r="O28" i="7"/>
  <c r="Q28" i="7"/>
  <c r="U28" i="7"/>
  <c r="AE28" i="7"/>
  <c r="P28" i="7"/>
  <c r="AB39" i="7"/>
  <c r="Q39" i="7"/>
  <c r="W39" i="7"/>
  <c r="R39" i="7"/>
  <c r="T39" i="7"/>
  <c r="Z39" i="7"/>
  <c r="O39" i="7"/>
  <c r="Y39" i="7"/>
  <c r="P39" i="7"/>
  <c r="U39" i="7"/>
  <c r="X39" i="7"/>
  <c r="AA39" i="7"/>
  <c r="S39" i="7"/>
  <c r="M39" i="7" s="1"/>
  <c r="I39" i="7"/>
  <c r="N39" i="7" s="1"/>
  <c r="AE39" i="7"/>
  <c r="AC39" i="7"/>
  <c r="AD39" i="7" s="1"/>
  <c r="AA42" i="7"/>
  <c r="AE42" i="7"/>
  <c r="Z42" i="7"/>
  <c r="S42" i="7"/>
  <c r="M42" i="7" s="1"/>
  <c r="U42" i="7"/>
  <c r="AC42" i="7"/>
  <c r="AD42" i="7" s="1"/>
  <c r="W42" i="7"/>
  <c r="P42" i="7"/>
  <c r="T42" i="7"/>
  <c r="R42" i="7"/>
  <c r="AB42" i="7"/>
  <c r="X42" i="7"/>
  <c r="Q42" i="7"/>
  <c r="O42" i="7"/>
  <c r="Y42" i="7"/>
  <c r="I42" i="7"/>
  <c r="N42" i="7" s="1"/>
  <c r="AB27" i="7"/>
  <c r="O27" i="7"/>
  <c r="S27" i="7"/>
  <c r="M27" i="7" s="1"/>
  <c r="X27" i="7"/>
  <c r="P27" i="7"/>
  <c r="Z27" i="7"/>
  <c r="I27" i="7"/>
  <c r="N27" i="7" s="1"/>
  <c r="Q27" i="7"/>
  <c r="W27" i="7"/>
  <c r="T27" i="7"/>
  <c r="Y27" i="7"/>
  <c r="U27" i="7"/>
  <c r="AA27" i="7"/>
  <c r="AE27" i="7"/>
  <c r="AC27" i="7"/>
  <c r="AD27" i="7" s="1"/>
  <c r="R27" i="7"/>
  <c r="AB30" i="7"/>
  <c r="I30" i="7"/>
  <c r="N30" i="7" s="1"/>
  <c r="Y30" i="7"/>
  <c r="T30" i="7"/>
  <c r="AE30" i="7"/>
  <c r="W30" i="7"/>
  <c r="R30" i="7"/>
  <c r="AC30" i="7"/>
  <c r="AD30" i="7" s="1"/>
  <c r="U30" i="7"/>
  <c r="Z30" i="7"/>
  <c r="Q30" i="7"/>
  <c r="O30" i="7"/>
  <c r="S30" i="7"/>
  <c r="M30" i="7" s="1"/>
  <c r="AA30" i="7"/>
  <c r="P30" i="7"/>
  <c r="X30" i="7"/>
  <c r="AB33" i="7"/>
  <c r="P33" i="7"/>
  <c r="S33" i="7"/>
  <c r="M33" i="7" s="1"/>
  <c r="U33" i="7"/>
  <c r="AE33" i="7"/>
  <c r="I33" i="7"/>
  <c r="N33" i="7" s="1"/>
  <c r="O33" i="7"/>
  <c r="R33" i="7"/>
  <c r="Q33" i="7"/>
  <c r="X33" i="7"/>
  <c r="AA33" i="7"/>
  <c r="T33" i="7"/>
  <c r="Z33" i="7"/>
  <c r="Y33" i="7"/>
  <c r="AC33" i="7"/>
  <c r="AD33" i="7" s="1"/>
  <c r="W33" i="7"/>
  <c r="AB22" i="7"/>
  <c r="AE22" i="7"/>
  <c r="W22" i="7"/>
  <c r="S22" i="7"/>
  <c r="M22" i="7" s="1"/>
  <c r="AC22" i="7"/>
  <c r="AD22" i="7" s="1"/>
  <c r="R22" i="7"/>
  <c r="Y22" i="7"/>
  <c r="I22" i="7"/>
  <c r="N22" i="7" s="1"/>
  <c r="P22" i="7"/>
  <c r="Z22" i="7"/>
  <c r="O22" i="7"/>
  <c r="T22" i="7"/>
  <c r="X22" i="7"/>
  <c r="U22" i="7"/>
  <c r="AA22" i="7"/>
  <c r="AB45" i="7"/>
  <c r="AA45" i="7"/>
  <c r="X45" i="7"/>
  <c r="W45" i="7"/>
  <c r="R45" i="7"/>
  <c r="AC45" i="7"/>
  <c r="AD45" i="7" s="1"/>
  <c r="P45" i="7"/>
  <c r="AE45" i="7"/>
  <c r="T45" i="7"/>
  <c r="Q45" i="7"/>
  <c r="S45" i="7"/>
  <c r="M45" i="7" s="1"/>
  <c r="Y45" i="7"/>
  <c r="O45" i="7"/>
  <c r="I45" i="7"/>
  <c r="N45" i="7" s="1"/>
  <c r="U45" i="7"/>
  <c r="Z45" i="7"/>
  <c r="X49" i="7"/>
  <c r="T49" i="7"/>
  <c r="AE49" i="7"/>
  <c r="S49" i="7"/>
  <c r="M49" i="7" s="1"/>
  <c r="R49" i="7"/>
  <c r="Q49" i="7"/>
  <c r="Z49" i="7"/>
  <c r="Y49" i="7"/>
  <c r="P49" i="7"/>
  <c r="W49" i="7"/>
  <c r="U49" i="7"/>
  <c r="AA49" i="7"/>
  <c r="AC49" i="7"/>
  <c r="AD49" i="7" s="1"/>
  <c r="I49" i="7"/>
  <c r="N49" i="7" s="1"/>
  <c r="AB49" i="7"/>
  <c r="O49" i="7"/>
  <c r="AB46" i="7"/>
  <c r="S46" i="7"/>
  <c r="M46" i="7" s="1"/>
  <c r="O46" i="7"/>
  <c r="Q46" i="7"/>
  <c r="U46" i="7"/>
  <c r="AE46" i="7"/>
  <c r="AA46" i="7"/>
  <c r="Z46" i="7"/>
  <c r="Y46" i="7"/>
  <c r="X46" i="7"/>
  <c r="I46" i="7"/>
  <c r="N46" i="7" s="1"/>
  <c r="T46" i="7"/>
  <c r="P46" i="7"/>
  <c r="R46" i="7"/>
  <c r="W46" i="7"/>
  <c r="AC46" i="7"/>
  <c r="AD46" i="7" s="1"/>
  <c r="AS34" i="9"/>
  <c r="G49" i="3"/>
  <c r="AR34" i="9"/>
  <c r="G48" i="3"/>
  <c r="AG47" i="5"/>
  <c r="AG48" i="5" s="1"/>
  <c r="Y47" i="5"/>
  <c r="Y48" i="5" s="1"/>
  <c r="Q48" i="3"/>
  <c r="AF11" i="5"/>
  <c r="AF39" i="5" s="1"/>
  <c r="AF42" i="5"/>
  <c r="Q49" i="3"/>
  <c r="H37" i="7" l="1"/>
  <c r="AF37" i="7"/>
  <c r="H31" i="7"/>
  <c r="AF31" i="7"/>
  <c r="H23" i="7"/>
  <c r="AF23" i="7"/>
  <c r="H35" i="7"/>
  <c r="AF35" i="7"/>
  <c r="H40" i="7"/>
  <c r="AF40" i="7"/>
  <c r="H45" i="7"/>
  <c r="AF45" i="7"/>
  <c r="H30" i="7"/>
  <c r="AF30" i="7"/>
  <c r="H39" i="7"/>
  <c r="AF39" i="7"/>
  <c r="H43" i="7"/>
  <c r="AF43" i="7"/>
  <c r="H26" i="7"/>
  <c r="AF26" i="7"/>
  <c r="H29" i="7"/>
  <c r="AF29" i="7"/>
  <c r="H28" i="7"/>
  <c r="AF28" i="7"/>
  <c r="H48" i="7"/>
  <c r="AF48" i="7"/>
  <c r="H44" i="7"/>
  <c r="AF44" i="7"/>
  <c r="H25" i="7"/>
  <c r="AF25" i="7"/>
  <c r="H33" i="7"/>
  <c r="AF33" i="7"/>
  <c r="H21" i="7"/>
  <c r="H41" i="7"/>
  <c r="AF41" i="7"/>
  <c r="H22" i="7"/>
  <c r="AF22" i="7"/>
  <c r="H36" i="7"/>
  <c r="AF36" i="7"/>
  <c r="H42" i="7"/>
  <c r="AF42" i="7"/>
  <c r="H27" i="7"/>
  <c r="AF27" i="7"/>
  <c r="H46" i="7"/>
  <c r="AF46" i="7"/>
  <c r="H34" i="7"/>
  <c r="AF34" i="7"/>
  <c r="H47" i="7"/>
  <c r="AF47" i="7"/>
  <c r="H38" i="7"/>
  <c r="AF38" i="7"/>
  <c r="H49" i="7"/>
  <c r="AF49" i="7"/>
  <c r="H32" i="7"/>
  <c r="AF32" i="7"/>
  <c r="H24" i="7"/>
  <c r="AF24" i="7"/>
  <c r="U10" i="10" l="1"/>
  <c r="V10" i="10" s="1"/>
  <c r="V22" i="10" s="1"/>
  <c r="Z10" i="10" l="1"/>
  <c r="AB10" i="10"/>
  <c r="AF10" i="10"/>
  <c r="U15" i="10"/>
  <c r="Y10" i="10"/>
  <c r="W10" i="10"/>
  <c r="W15" i="10" s="1"/>
  <c r="AC10" i="10"/>
  <c r="AD10" i="10"/>
  <c r="X10" i="10"/>
  <c r="AA10" i="10"/>
  <c r="AE10" i="10"/>
  <c r="U22" i="10"/>
  <c r="T15" i="10"/>
  <c r="Z23" i="10" l="1"/>
  <c r="Y23" i="10"/>
  <c r="AB23" i="10"/>
  <c r="U24" i="10"/>
  <c r="AA23" i="10"/>
  <c r="X22" i="10"/>
  <c r="X24" i="10" s="1"/>
  <c r="X15" i="10"/>
  <c r="X16" i="10" s="1"/>
  <c r="Y15" i="10"/>
  <c r="Y16" i="10" s="1"/>
  <c r="Y22" i="10"/>
  <c r="Y24" i="10" s="1"/>
  <c r="U29" i="10"/>
  <c r="U16" i="10"/>
  <c r="AE15" i="10"/>
  <c r="AE16" i="10" s="1"/>
  <c r="AE22" i="10"/>
  <c r="AE24" i="10" s="1"/>
  <c r="AA15" i="10"/>
  <c r="AA16" i="10" s="1"/>
  <c r="AA22" i="10"/>
  <c r="AA24" i="10" s="1"/>
  <c r="AC15" i="10"/>
  <c r="AC16" i="10" s="1"/>
  <c r="AC22" i="10"/>
  <c r="AC24" i="10" s="1"/>
  <c r="W16" i="10"/>
  <c r="W22" i="10"/>
  <c r="W24" i="10" s="1"/>
  <c r="AF15" i="10"/>
  <c r="AF16" i="10" s="1"/>
  <c r="AF22" i="10"/>
  <c r="AF24" i="10" s="1"/>
  <c r="AG10" i="10"/>
  <c r="AG15" i="10" s="1"/>
  <c r="AG16" i="10" s="1"/>
  <c r="AG21" i="10" s="1"/>
  <c r="AB22" i="10"/>
  <c r="AB24" i="10" s="1"/>
  <c r="AB15" i="10"/>
  <c r="AB16" i="10" s="1"/>
  <c r="AD22" i="10"/>
  <c r="AD24" i="10" s="1"/>
  <c r="AD15" i="10"/>
  <c r="AD16" i="10" s="1"/>
  <c r="V15" i="10"/>
  <c r="V16" i="10" s="1"/>
  <c r="V24" i="10"/>
  <c r="Z15" i="10"/>
  <c r="Z16" i="10" s="1"/>
  <c r="Z22" i="10"/>
  <c r="Z24" i="10" s="1"/>
  <c r="V26" i="10" l="1"/>
  <c r="V29" i="10" s="1"/>
  <c r="U23" i="10"/>
  <c r="AC23" i="10" s="1"/>
  <c r="X26" i="10"/>
  <c r="X27" i="10" s="1"/>
  <c r="Z26" i="10"/>
  <c r="Z27" i="10" s="1"/>
  <c r="W26" i="10"/>
  <c r="W27" i="10" s="1"/>
  <c r="AA26" i="10"/>
  <c r="AA29" i="10" s="1"/>
  <c r="AC26" i="10"/>
  <c r="AC27" i="10" s="1"/>
  <c r="AD26" i="10"/>
  <c r="AD27" i="10" s="1"/>
  <c r="X28" i="10"/>
  <c r="W28" i="10"/>
  <c r="AA28" i="10"/>
  <c r="V28" i="10"/>
  <c r="V27" i="10"/>
  <c r="AE26" i="10"/>
  <c r="Y26" i="10"/>
  <c r="AF26" i="10"/>
  <c r="AF29" i="10" s="1"/>
  <c r="AB26" i="10"/>
  <c r="AB29" i="10" s="1"/>
  <c r="X29" i="10"/>
  <c r="AE29" i="10"/>
  <c r="AJ85" i="10"/>
  <c r="AK85" i="10" s="1"/>
  <c r="AJ53" i="10"/>
  <c r="AK53" i="10" s="1"/>
  <c r="AJ96" i="10"/>
  <c r="AK96" i="10" s="1"/>
  <c r="AJ97" i="10"/>
  <c r="AK97" i="10" s="1"/>
  <c r="AJ52" i="10"/>
  <c r="AK52" i="10" s="1"/>
  <c r="AJ49" i="10"/>
  <c r="AK49" i="10" s="1"/>
  <c r="AJ72" i="10"/>
  <c r="AK72" i="10" s="1"/>
  <c r="AJ84" i="10"/>
  <c r="AK84" i="10" s="1"/>
  <c r="AJ71" i="10"/>
  <c r="AK71" i="10" s="1"/>
  <c r="AJ93" i="10"/>
  <c r="AK93" i="10" s="1"/>
  <c r="AJ54" i="10"/>
  <c r="AK54" i="10" s="1"/>
  <c r="AJ77" i="10"/>
  <c r="AK77" i="10" s="1"/>
  <c r="AJ80" i="10"/>
  <c r="AK80" i="10" s="1"/>
  <c r="AJ68" i="10"/>
  <c r="AK68" i="10" s="1"/>
  <c r="AJ92" i="10"/>
  <c r="AK92" i="10" s="1"/>
  <c r="AJ50" i="10"/>
  <c r="AK50" i="10" s="1"/>
  <c r="AJ55" i="10"/>
  <c r="AK55" i="10" s="1"/>
  <c r="AJ78" i="10"/>
  <c r="AK78" i="10" s="1"/>
  <c r="AJ56" i="10"/>
  <c r="AK56" i="10" s="1"/>
  <c r="AJ98" i="10"/>
  <c r="AK98" i="10" s="1"/>
  <c r="AJ95" i="10"/>
  <c r="AK95" i="10" s="1"/>
  <c r="AJ65" i="10"/>
  <c r="AK65" i="10" s="1"/>
  <c r="AJ81" i="10"/>
  <c r="AK81" i="10" s="1"/>
  <c r="AJ69" i="10"/>
  <c r="AK69" i="10" s="1"/>
  <c r="AJ48" i="10"/>
  <c r="AK48" i="10" s="1"/>
  <c r="AJ83" i="10"/>
  <c r="AK83" i="10" s="1"/>
  <c r="AJ57" i="10"/>
  <c r="AK57" i="10" s="1"/>
  <c r="AJ90" i="10"/>
  <c r="AK90" i="10" s="1"/>
  <c r="AJ67" i="10"/>
  <c r="AK67" i="10" s="1"/>
  <c r="AJ94" i="10"/>
  <c r="AK94" i="10" s="1"/>
  <c r="AJ86" i="10"/>
  <c r="AK86" i="10" s="1"/>
  <c r="AJ66" i="10"/>
  <c r="AK66" i="10" s="1"/>
  <c r="AJ51" i="10"/>
  <c r="AK51" i="10" s="1"/>
  <c r="AJ79" i="10"/>
  <c r="AK79" i="10" s="1"/>
  <c r="AJ82" i="10"/>
  <c r="AK82" i="10" s="1"/>
  <c r="AJ70" i="10"/>
  <c r="AK70" i="10" s="1"/>
  <c r="AJ64" i="10"/>
  <c r="AK64" i="10" s="1"/>
  <c r="AJ99" i="10"/>
  <c r="AK99" i="10" s="1"/>
  <c r="AJ91" i="10"/>
  <c r="AK91" i="10" s="1"/>
  <c r="AJ63" i="10"/>
  <c r="AK63" i="10" s="1"/>
  <c r="Z29" i="10" l="1"/>
  <c r="W29" i="10"/>
  <c r="AC29" i="10"/>
  <c r="AC28" i="10"/>
  <c r="Z28" i="10"/>
  <c r="AE23" i="10"/>
  <c r="AD23" i="10"/>
  <c r="AF23" i="10"/>
  <c r="AD28" i="10"/>
  <c r="AD29" i="10"/>
  <c r="AA27" i="10"/>
  <c r="AF28" i="10"/>
  <c r="AF27" i="10"/>
  <c r="Y28" i="10"/>
  <c r="Y27" i="10"/>
  <c r="Y29" i="10"/>
  <c r="AE28" i="10"/>
  <c r="AE27" i="10"/>
  <c r="AB28" i="10"/>
  <c r="AB27" i="10"/>
  <c r="AV72" i="10"/>
  <c r="AW72" i="10"/>
  <c r="AX72" i="10"/>
  <c r="AW63" i="10"/>
  <c r="AV63" i="10"/>
  <c r="AT63" i="10"/>
  <c r="AU63" i="10"/>
  <c r="AW86" i="10"/>
  <c r="AV86" i="10"/>
  <c r="AX86" i="10"/>
  <c r="AT92" i="10"/>
  <c r="AY92" i="10"/>
  <c r="AV92" i="10"/>
  <c r="AU92" i="10"/>
  <c r="AX92" i="10"/>
  <c r="AW92" i="10"/>
  <c r="AX49" i="10"/>
  <c r="AV49" i="10"/>
  <c r="AW49" i="10"/>
  <c r="AT49" i="10"/>
  <c r="AU49" i="10"/>
  <c r="AW68" i="10"/>
  <c r="AX68" i="10"/>
  <c r="AV68" i="10"/>
  <c r="AU68" i="10"/>
  <c r="AT68" i="10"/>
  <c r="AY68" i="10"/>
  <c r="AV94" i="10"/>
  <c r="AW94" i="10"/>
  <c r="AU94" i="10"/>
  <c r="AX94" i="10"/>
  <c r="AY94" i="10"/>
  <c r="AT94" i="10"/>
  <c r="AT52" i="10"/>
  <c r="AY52" i="10"/>
  <c r="AU52" i="10"/>
  <c r="AV52" i="10"/>
  <c r="AX52" i="10"/>
  <c r="AW52" i="10"/>
  <c r="AX91" i="10"/>
  <c r="AU91" i="10"/>
  <c r="AT91" i="10"/>
  <c r="AV91" i="10"/>
  <c r="AW91" i="10"/>
  <c r="AV48" i="10"/>
  <c r="AU48" i="10"/>
  <c r="AT48" i="10"/>
  <c r="AW48" i="10"/>
  <c r="AT78" i="10"/>
  <c r="AV78" i="10"/>
  <c r="AU78" i="10"/>
  <c r="AW78" i="10"/>
  <c r="AX78" i="10"/>
  <c r="AW55" i="10"/>
  <c r="AY55" i="10"/>
  <c r="AT55" i="10"/>
  <c r="AX55" i="10"/>
  <c r="AV55" i="10"/>
  <c r="AU55" i="10"/>
  <c r="AV50" i="10"/>
  <c r="AY50" i="10"/>
  <c r="AX50" i="10"/>
  <c r="AW50" i="10"/>
  <c r="AU50" i="10"/>
  <c r="AT50" i="10"/>
  <c r="AY96" i="10"/>
  <c r="AT96" i="10"/>
  <c r="AV96" i="10"/>
  <c r="AU96" i="10"/>
  <c r="AX96" i="10"/>
  <c r="AW96" i="10"/>
  <c r="AY53" i="10"/>
  <c r="AV53" i="10"/>
  <c r="AU53" i="10"/>
  <c r="AX53" i="10"/>
  <c r="AT53" i="10"/>
  <c r="AW53" i="10"/>
  <c r="AW85" i="10"/>
  <c r="AV85" i="10"/>
  <c r="AX85" i="10"/>
  <c r="AU85" i="10"/>
  <c r="AT85" i="10"/>
  <c r="AY69" i="10"/>
  <c r="AW69" i="10"/>
  <c r="AT69" i="10"/>
  <c r="AU69" i="10"/>
  <c r="AX69" i="10"/>
  <c r="AV69" i="10"/>
  <c r="AV82" i="10"/>
  <c r="AX82" i="10"/>
  <c r="AY82" i="10"/>
  <c r="AU82" i="10"/>
  <c r="AT82" i="10"/>
  <c r="AW82" i="10"/>
  <c r="AU93" i="10"/>
  <c r="AY93" i="10"/>
  <c r="AX93" i="10"/>
  <c r="AW93" i="10"/>
  <c r="AV93" i="10"/>
  <c r="AT93" i="10"/>
  <c r="AX97" i="10"/>
  <c r="AT97" i="10"/>
  <c r="AU97" i="10"/>
  <c r="AY97" i="10"/>
  <c r="AW97" i="10"/>
  <c r="AV97" i="10"/>
  <c r="AW99" i="10"/>
  <c r="AX99" i="10"/>
  <c r="AV99" i="10"/>
  <c r="AX64" i="10"/>
  <c r="AW64" i="10"/>
  <c r="AT64" i="10"/>
  <c r="AV64" i="10"/>
  <c r="AU64" i="10"/>
  <c r="AX70" i="10"/>
  <c r="AW70" i="10"/>
  <c r="AU70" i="10"/>
  <c r="AV70" i="10"/>
  <c r="AT70" i="10"/>
  <c r="AY70" i="10"/>
  <c r="AT77" i="10"/>
  <c r="AW77" i="10"/>
  <c r="AV77" i="10"/>
  <c r="AU77" i="10"/>
  <c r="AW81" i="10"/>
  <c r="AX81" i="10"/>
  <c r="AV81" i="10"/>
  <c r="AY81" i="10"/>
  <c r="AU81" i="10"/>
  <c r="AT81" i="10"/>
  <c r="AW79" i="10"/>
  <c r="AU79" i="10"/>
  <c r="AV79" i="10"/>
  <c r="AX79" i="10"/>
  <c r="AT79" i="10"/>
  <c r="AY79" i="10"/>
  <c r="AV95" i="10"/>
  <c r="AY95" i="10"/>
  <c r="AW95" i="10"/>
  <c r="AU95" i="10"/>
  <c r="AT95" i="10"/>
  <c r="AX95" i="10"/>
  <c r="AV71" i="10"/>
  <c r="AW71" i="10"/>
  <c r="AT71" i="10"/>
  <c r="AX71" i="10"/>
  <c r="AU71" i="10"/>
  <c r="AV56" i="10"/>
  <c r="AU56" i="10"/>
  <c r="AW56" i="10"/>
  <c r="AX56" i="10"/>
  <c r="AT56" i="10"/>
  <c r="AY67" i="10"/>
  <c r="AU67" i="10"/>
  <c r="AV67" i="10"/>
  <c r="AX67" i="10"/>
  <c r="AW67" i="10"/>
  <c r="AT67" i="10"/>
  <c r="AV90" i="10"/>
  <c r="AW90" i="10"/>
  <c r="AU90" i="10"/>
  <c r="AT90" i="10"/>
  <c r="AX57" i="10"/>
  <c r="AV57" i="10"/>
  <c r="AW57" i="10"/>
  <c r="AU83" i="10"/>
  <c r="AX83" i="10"/>
  <c r="AV83" i="10"/>
  <c r="AT83" i="10"/>
  <c r="AW83" i="10"/>
  <c r="AY83" i="10"/>
  <c r="AU80" i="10"/>
  <c r="AV80" i="10"/>
  <c r="AW80" i="10"/>
  <c r="AY80" i="10"/>
  <c r="AT80" i="10"/>
  <c r="AX80" i="10"/>
  <c r="AT54" i="10"/>
  <c r="AY54" i="10"/>
  <c r="AU54" i="10"/>
  <c r="AV54" i="10"/>
  <c r="AX54" i="10"/>
  <c r="AW54" i="10"/>
  <c r="AX65" i="10"/>
  <c r="AW65" i="10"/>
  <c r="AT65" i="10"/>
  <c r="AV65" i="10"/>
  <c r="AU65" i="10"/>
  <c r="AY65" i="10"/>
  <c r="AY51" i="10"/>
  <c r="AW51" i="10"/>
  <c r="AU51" i="10"/>
  <c r="AV51" i="10"/>
  <c r="AX51" i="10"/>
  <c r="AT51" i="10"/>
  <c r="AU66" i="10"/>
  <c r="AV66" i="10"/>
  <c r="AX66" i="10"/>
  <c r="AT66" i="10"/>
  <c r="AY66" i="10"/>
  <c r="AW66" i="10"/>
  <c r="AU98" i="10"/>
  <c r="AX98" i="10"/>
  <c r="AW98" i="10"/>
  <c r="AT98" i="10"/>
  <c r="AV98" i="10"/>
  <c r="AU84" i="10"/>
  <c r="AW84" i="10"/>
  <c r="AT84" i="10"/>
  <c r="AV84" i="10"/>
  <c r="AY84" i="10"/>
  <c r="AX84" i="10"/>
  <c r="AW58" i="10" l="1"/>
  <c r="AT58" i="10"/>
  <c r="AY100" i="10"/>
  <c r="AU58" i="10"/>
  <c r="AU73" i="10"/>
  <c r="AY73" i="10"/>
  <c r="AT73" i="10"/>
  <c r="AU100" i="10"/>
  <c r="AX87" i="10"/>
  <c r="AX58" i="10"/>
  <c r="AV73" i="10"/>
  <c r="AV58" i="10"/>
  <c r="AY87" i="10"/>
  <c r="AX100" i="10"/>
  <c r="AW73" i="10"/>
  <c r="AT100" i="10"/>
  <c r="AU87" i="10"/>
  <c r="AV100" i="10"/>
  <c r="AV87" i="10"/>
  <c r="AW87" i="10"/>
  <c r="AX73" i="10"/>
  <c r="AW100" i="10"/>
  <c r="AT87" i="10"/>
  <c r="AY5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Ein geschätzter Microsoft Office Anwender</author>
    <author>Gerster, Elisabeth (LAZBW)</author>
  </authors>
  <commentList>
    <comment ref="P1" authorId="0" shapeId="0" xr:uid="{00000000-0006-0000-0200-000001000000}">
      <text>
        <r>
          <rPr>
            <sz val="8"/>
            <color indexed="81"/>
            <rFont val="Tahoma"/>
            <family val="2"/>
          </rPr>
          <t>Eigene Futtermittel können durch Eingabe oder kopieren vorhandener Futtermittel ergänzt werden.
Nutzen Sie hierzu die freien Felder zwischen den Futtermittelgruppen.</t>
        </r>
      </text>
    </comment>
    <comment ref="B92" authorId="1" shapeId="0" xr:uid="{00000000-0006-0000-0200-000002000000}">
      <text>
        <r>
          <rPr>
            <b/>
            <sz val="9"/>
            <color indexed="81"/>
            <rFont val="Segoe UI"/>
            <family val="2"/>
          </rPr>
          <t>Gerster, Elisabeth (LAZBW):</t>
        </r>
        <r>
          <rPr>
            <sz val="9"/>
            <color indexed="81"/>
            <rFont val="Segoe UI"/>
            <family val="2"/>
          </rPr>
          <t xml:space="preserve">
bitte umbenennen, nachfolgend dann die Ergebnisse aus unserem Versuch im letzten Jahr eingetragen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Ein geschätzter Microsoft Office Anwender</author>
  </authors>
  <commentList>
    <comment ref="B1" authorId="0" shapeId="0" xr:uid="{00000000-0006-0000-0400-000001000000}">
      <text>
        <r>
          <rPr>
            <sz val="8"/>
            <color indexed="81"/>
            <rFont val="Tahoma"/>
            <family val="2"/>
          </rPr>
          <t>Bildschirmeinstellungen:
Zoom 75%
Bildschirm geteilt: oberes Feld Eingabe
                            unteres Feld Ergebnisse</t>
        </r>
      </text>
    </comment>
    <comment ref="F10" authorId="0" shapeId="0" xr:uid="{974782FC-213E-4200-8743-A79D57235D81}">
      <text>
        <r>
          <rPr>
            <sz val="8"/>
            <color indexed="81"/>
            <rFont val="Tahoma"/>
            <family val="2"/>
          </rPr>
          <t xml:space="preserve">Rassegruppe:
- notwendig für BCS-Korrektur
Typ Milch: HF, RH, BV
Typ Zweinutzung: FV </t>
        </r>
      </text>
    </comment>
    <comment ref="W15" authorId="0" shapeId="0" xr:uid="{00000000-0006-0000-0400-000003000000}">
      <text>
        <r>
          <rPr>
            <sz val="12"/>
            <color indexed="81"/>
            <rFont val="Tahoma"/>
            <family val="2"/>
          </rPr>
          <t>Schätzung der Futteraufnahme kann nur nach Auswahl von Futtermitteln und Eingabe von Mengen erfolgen!
- Schätzung Milchvieh nach DLG 2006
-Schätzung Ziegen nach Kessler 1987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Ein geschätzter Microsoft Office Anwender</author>
  </authors>
  <commentList>
    <comment ref="A1" authorId="0" shapeId="0" xr:uid="{00000000-0006-0000-0500-000001000000}">
      <text>
        <r>
          <rPr>
            <sz val="8"/>
            <color indexed="81"/>
            <rFont val="Tahoma"/>
            <family val="2"/>
          </rPr>
          <t>Bildschirmeinstellungen:
Zoom 75%
Bildschirm geteilt: oberes Feld Eingabe
                            unteres Feld Ergebnisse</t>
        </r>
      </text>
    </comment>
    <comment ref="M14" authorId="0" shapeId="0" xr:uid="{00000000-0006-0000-0500-000002000000}">
      <text>
        <r>
          <rPr>
            <sz val="8"/>
            <color indexed="81"/>
            <rFont val="Tahoma"/>
            <family val="2"/>
          </rPr>
          <t>Futtermittelmenge in TS eingeben!
Umrechnung in FS erfolgt in Spalte 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Ein geschätzter Microsoft Office Anwender</author>
  </authors>
  <commentList>
    <comment ref="R7" authorId="0" shapeId="0" xr:uid="{00000000-0006-0000-0900-000001000000}">
      <text>
        <r>
          <rPr>
            <sz val="8"/>
            <color indexed="81"/>
            <rFont val="Tahoma"/>
            <family val="2"/>
          </rPr>
          <t>Ausblenden der Anzeige "Gehalt je kg TS" mit Schaltfläche "Inhaltstoffe ein/aus"</t>
        </r>
      </text>
    </comment>
  </commentList>
</comments>
</file>

<file path=xl/sharedStrings.xml><?xml version="1.0" encoding="utf-8"?>
<sst xmlns="http://schemas.openxmlformats.org/spreadsheetml/2006/main" count="1143" uniqueCount="580">
  <si>
    <t>Laktationen</t>
  </si>
  <si>
    <t>Gewicht</t>
  </si>
  <si>
    <t>Milchleistung</t>
  </si>
  <si>
    <t>(tr. ="T")</t>
  </si>
  <si>
    <t>Fett</t>
  </si>
  <si>
    <t>Eiweiß</t>
  </si>
  <si>
    <t>Bedarf der Kuh</t>
  </si>
  <si>
    <t>Anzahl</t>
  </si>
  <si>
    <t>Datum</t>
  </si>
  <si>
    <t>kg</t>
  </si>
  <si>
    <t>kg/Tag</t>
  </si>
  <si>
    <t>%</t>
  </si>
  <si>
    <t>NEL</t>
  </si>
  <si>
    <t>nXP</t>
  </si>
  <si>
    <t>RNB</t>
  </si>
  <si>
    <t>XZ</t>
  </si>
  <si>
    <t>XS</t>
  </si>
  <si>
    <t>XF</t>
  </si>
  <si>
    <t>ADF</t>
  </si>
  <si>
    <t>NDF</t>
  </si>
  <si>
    <t>MJ</t>
  </si>
  <si>
    <t>g</t>
  </si>
  <si>
    <t>je kg Milch</t>
  </si>
  <si>
    <t>Leistungsbedarf</t>
  </si>
  <si>
    <t>Erhaltungsbedarf</t>
  </si>
  <si>
    <t>Futterart</t>
  </si>
  <si>
    <t>Gehalt der Ration</t>
  </si>
  <si>
    <t>Summe</t>
  </si>
  <si>
    <t>kg Milch</t>
  </si>
  <si>
    <t>Milchleistungsfutter</t>
  </si>
  <si>
    <t>Mineralstoffbilanzierung</t>
  </si>
  <si>
    <t>Summe Erhaltung</t>
  </si>
  <si>
    <t>Summe  Leistung</t>
  </si>
  <si>
    <t>Ca</t>
  </si>
  <si>
    <t>P</t>
  </si>
  <si>
    <t>Na</t>
  </si>
  <si>
    <t>Mg</t>
  </si>
  <si>
    <t>K</t>
  </si>
  <si>
    <t xml:space="preserve">g </t>
  </si>
  <si>
    <t>Ca
g</t>
  </si>
  <si>
    <t>P
g</t>
  </si>
  <si>
    <t>Na
g</t>
  </si>
  <si>
    <t>Mg
g</t>
  </si>
  <si>
    <t>K
g</t>
  </si>
  <si>
    <t>Bedarfsdeckung</t>
  </si>
  <si>
    <t>Futterwerttabelle</t>
  </si>
  <si>
    <t>Futtermittel</t>
  </si>
  <si>
    <t>Trocken-</t>
  </si>
  <si>
    <t>Netto-</t>
  </si>
  <si>
    <t>Umsetzb.</t>
  </si>
  <si>
    <t>Roh-</t>
  </si>
  <si>
    <t>nutzb.</t>
  </si>
  <si>
    <t xml:space="preserve">rum. </t>
  </si>
  <si>
    <t>Zucker</t>
  </si>
  <si>
    <t>Stärke</t>
  </si>
  <si>
    <t>Rohfaser</t>
  </si>
  <si>
    <t>Faser</t>
  </si>
  <si>
    <t>Energie-</t>
  </si>
  <si>
    <t>Energie</t>
  </si>
  <si>
    <t>protein</t>
  </si>
  <si>
    <t>N-</t>
  </si>
  <si>
    <t>kohlenhydrate</t>
  </si>
  <si>
    <t>Laktation</t>
  </si>
  <si>
    <t>Bilanz</t>
  </si>
  <si>
    <t>ME</t>
  </si>
  <si>
    <t>XP</t>
  </si>
  <si>
    <t>bXS</t>
  </si>
  <si>
    <t>a</t>
  </si>
  <si>
    <t>Frischfutter</t>
  </si>
  <si>
    <t>Futterrübe (gehaltvolle), sauber</t>
  </si>
  <si>
    <t>Kartoffeln</t>
  </si>
  <si>
    <t>Kleegras 1. Aufwuchs - in der Knospe</t>
  </si>
  <si>
    <t>Kleegras, Folgeaufwuchs - Beginn der Blüte</t>
  </si>
  <si>
    <t>Kleegras, Folgeaufwuchs - in der Knospe</t>
  </si>
  <si>
    <t>Silagen</t>
  </si>
  <si>
    <t>Biertrebersilage</t>
  </si>
  <si>
    <t>CCM</t>
  </si>
  <si>
    <t>Zuckerrübenblatt, sauber</t>
  </si>
  <si>
    <t>Heu/Stroh</t>
  </si>
  <si>
    <t>Gerste, Stroh</t>
  </si>
  <si>
    <t>Handelsfuttermittel</t>
  </si>
  <si>
    <t>Ackerbohnen</t>
  </si>
  <si>
    <t>Erbsen</t>
  </si>
  <si>
    <t>Gerste (Winter), Körner</t>
  </si>
  <si>
    <t>Hafer, Körner</t>
  </si>
  <si>
    <t>Mais, Körner</t>
  </si>
  <si>
    <t>Melasseschnitzel</t>
  </si>
  <si>
    <t xml:space="preserve">Rapsextraktionsschrot </t>
  </si>
  <si>
    <t>Triticale, Körner</t>
  </si>
  <si>
    <t>Weizen (Winter), Körner</t>
  </si>
  <si>
    <t>Weizenkleie</t>
  </si>
  <si>
    <t>MLF 14/3</t>
  </si>
  <si>
    <t>MLF 21/3</t>
  </si>
  <si>
    <t>MLF 24/2 (Verschnitt m. Getreide 1:1)</t>
  </si>
  <si>
    <t>Mineralfutter 10/12</t>
  </si>
  <si>
    <t>Mineralfutter 14/7</t>
  </si>
  <si>
    <t>Mineralfutter 22/7</t>
  </si>
  <si>
    <t>Kohlensaurer Futterkalk</t>
  </si>
  <si>
    <t>Viehsalz</t>
  </si>
  <si>
    <t>Harnstoff</t>
  </si>
  <si>
    <t>Beständigkeit XS</t>
  </si>
  <si>
    <t>Raps, v.d. Blüte</t>
  </si>
  <si>
    <t>Rübenblatt, sauber</t>
  </si>
  <si>
    <t>Zuckerrüben, sauber</t>
  </si>
  <si>
    <t>Kartoffelpülpe</t>
  </si>
  <si>
    <t>Trester, Apfel</t>
  </si>
  <si>
    <t>Maiskleberfutter</t>
  </si>
  <si>
    <t>LKS</t>
  </si>
  <si>
    <t>Roggen, Körner</t>
  </si>
  <si>
    <t>Sojabohne, Samen, dampferhitzt</t>
  </si>
  <si>
    <t>Haferschälkleie</t>
  </si>
  <si>
    <t>Maiskleber</t>
  </si>
  <si>
    <t>Sonnenblumenextraktionsschrot, teilgesch.</t>
  </si>
  <si>
    <t>Sojaextraktionsschrot (HP) - geschälte Saat, dampferhitzt</t>
  </si>
  <si>
    <t>Sojaextraktionsschrot - ungeschälte Saat, dampferhitzt</t>
  </si>
  <si>
    <t>Baumwollextraktionsschrot, teilgesch.</t>
  </si>
  <si>
    <t>Erdnußextraktionsschrot, enthülst</t>
  </si>
  <si>
    <t>Kokosextraktionsschrot</t>
  </si>
  <si>
    <t>Palmkernkuchen, 8-12 % Fett</t>
  </si>
  <si>
    <t>Melasse</t>
  </si>
  <si>
    <t>Bierhefe, getr.</t>
  </si>
  <si>
    <t>Schlempe, Kartoffel</t>
  </si>
  <si>
    <t>Schlempe, Weizen</t>
  </si>
  <si>
    <t>Zitrustrester</t>
  </si>
  <si>
    <t>reicht für ... kg Milch</t>
  </si>
  <si>
    <t>Rationsbezeichnung</t>
  </si>
  <si>
    <t>TMR HF</t>
  </si>
  <si>
    <t>Einzel HF</t>
  </si>
  <si>
    <t>Laktations-tag</t>
  </si>
  <si>
    <t>Grobfutter</t>
  </si>
  <si>
    <t>Maissilage, BW mittel</t>
  </si>
  <si>
    <t>Maissilage, BW gering</t>
  </si>
  <si>
    <t>Milchkühe</t>
  </si>
  <si>
    <t>Milchschafe</t>
  </si>
  <si>
    <t>Milchziegen</t>
  </si>
  <si>
    <t>Hafer, Stroh</t>
  </si>
  <si>
    <t>Luzerne, Folgeaufwuchs, Beginn Blüte</t>
  </si>
  <si>
    <t>Kleegras, 1. S., i. d. Knospe</t>
  </si>
  <si>
    <t>Kleegras, Mitte-Ende Blüte</t>
  </si>
  <si>
    <t>Weizen, Stroh</t>
  </si>
  <si>
    <t>XL</t>
  </si>
  <si>
    <t>Rohfett</t>
  </si>
  <si>
    <t>Trockenmasse</t>
  </si>
  <si>
    <t>Frischmasse</t>
  </si>
  <si>
    <t>Dateneingabe</t>
  </si>
  <si>
    <t>TM</t>
  </si>
  <si>
    <t>je kg TM</t>
  </si>
  <si>
    <t>FM</t>
  </si>
  <si>
    <t>Rationsausgleich/Mineralfutter</t>
  </si>
  <si>
    <t>FM kg</t>
  </si>
  <si>
    <t>TM kg</t>
  </si>
  <si>
    <t>UDP</t>
  </si>
  <si>
    <t>Maissilage, BW gut</t>
  </si>
  <si>
    <t>Kleegras 1. Aufwuchs - vor der Knospe</t>
  </si>
  <si>
    <t>Luzerne, Beginn Knospenbildung</t>
  </si>
  <si>
    <t>Luzerne, Beginn Blüte</t>
  </si>
  <si>
    <t>Roggen, Schossen</t>
  </si>
  <si>
    <t>Rohglycerin</t>
  </si>
  <si>
    <t>Propylenglycol</t>
  </si>
  <si>
    <t>Natriumbicarbonat</t>
  </si>
  <si>
    <t>GPS, Ackerbohne</t>
  </si>
  <si>
    <t>Raps, jung, blattreich</t>
  </si>
  <si>
    <t>Luzerne, 1. S.  Beginn Blüte</t>
  </si>
  <si>
    <t>Gesch. Fett (Ca-Seifen)</t>
  </si>
  <si>
    <t>Grünmehl, Gras, 1. Aufwuchs, Schossen</t>
  </si>
  <si>
    <t>Grünmehl, Gras, Folgeaufwuchs, Herbst</t>
  </si>
  <si>
    <t>Grünmehl, Luzerne, v.d. Knospe</t>
  </si>
  <si>
    <t>Maiskobs</t>
  </si>
  <si>
    <t>Lupine, süß,  Körner</t>
  </si>
  <si>
    <t>Karotten</t>
  </si>
  <si>
    <t>Leinextraktionsschrot</t>
  </si>
  <si>
    <t xml:space="preserve">Sojaextraktionsschrot (gesch.) </t>
  </si>
  <si>
    <t>Komponenten</t>
  </si>
  <si>
    <t>Tage</t>
  </si>
  <si>
    <t>Mineralfutter und Sonstige</t>
  </si>
  <si>
    <t>NEL MJ /kg FM</t>
  </si>
  <si>
    <t>XP, g/kg FM</t>
  </si>
  <si>
    <t>ESt</t>
  </si>
  <si>
    <t>NFC</t>
  </si>
  <si>
    <t>Nicht-</t>
  </si>
  <si>
    <t>FaserKH</t>
  </si>
  <si>
    <t>XA</t>
  </si>
  <si>
    <t>g / kg TM</t>
  </si>
  <si>
    <t>MJ/kg TM</t>
  </si>
  <si>
    <t>g/kg FM</t>
  </si>
  <si>
    <t>Pressschnitzel</t>
  </si>
  <si>
    <t>Grassamenstroh, D. Weidelgras</t>
  </si>
  <si>
    <t>Gesch. Fett (kristallin)</t>
  </si>
  <si>
    <t>DDGS (Trockenschlempe)</t>
  </si>
  <si>
    <t>Weizennachmehl</t>
  </si>
  <si>
    <t>Maiskeime</t>
  </si>
  <si>
    <t>Reinglycerin</t>
  </si>
  <si>
    <t>Malzkeime</t>
  </si>
  <si>
    <t xml:space="preserve">Rapsextraktionsschrot, geschützt </t>
  </si>
  <si>
    <t>Mineralfutter 1/8</t>
  </si>
  <si>
    <t>Mineralfutter 25/0</t>
  </si>
  <si>
    <t>Wasser</t>
  </si>
  <si>
    <t>Summe, kg TM</t>
  </si>
  <si>
    <t>Summe, kg FM</t>
  </si>
  <si>
    <t>NEL MJ /kg TM</t>
  </si>
  <si>
    <t>nXP, g/kg TM</t>
  </si>
  <si>
    <t>Eingabemodus FM/TM</t>
  </si>
  <si>
    <t>Tierzahl</t>
  </si>
  <si>
    <t>RNB, g/kg TM</t>
  </si>
  <si>
    <t>NFC, g/kg TM</t>
  </si>
  <si>
    <t>peNDF, g/kg</t>
  </si>
  <si>
    <t>Ca, g/kg TM</t>
  </si>
  <si>
    <t>P, g/kg TM</t>
  </si>
  <si>
    <t>Na, g/kg TM</t>
  </si>
  <si>
    <t>Mg, g/kg TM</t>
  </si>
  <si>
    <t>K, g/kg TM</t>
  </si>
  <si>
    <t>XZ, g/kg TM</t>
  </si>
  <si>
    <t>ME MJ /kg TM</t>
  </si>
  <si>
    <t>Gesamt-verbrauch, kg/Tag</t>
  </si>
  <si>
    <t>Eigenmischungen</t>
  </si>
  <si>
    <r>
      <t xml:space="preserve">Gehalt je kg </t>
    </r>
    <r>
      <rPr>
        <b/>
        <sz val="9"/>
        <rFont val="Arial"/>
        <family val="2"/>
      </rPr>
      <t>TM</t>
    </r>
    <r>
      <rPr>
        <sz val="9"/>
        <rFont val="Arial"/>
        <family val="2"/>
      </rPr>
      <t xml:space="preserve"> im Futter</t>
    </r>
  </si>
  <si>
    <t>Bemerkungen:</t>
  </si>
  <si>
    <t>(trocken= "T")</t>
  </si>
  <si>
    <t>Laktationsnr.</t>
  </si>
  <si>
    <t>Rasse (HF, FV, BV)</t>
  </si>
  <si>
    <t>FV</t>
  </si>
  <si>
    <t>Fett %</t>
  </si>
  <si>
    <t>Eiweiß %</t>
  </si>
  <si>
    <t>Lebendmasse, kg</t>
  </si>
  <si>
    <t>Korrektur
TM-Aufnahme</t>
  </si>
  <si>
    <t>TM-Aufnahme</t>
  </si>
  <si>
    <r>
      <t xml:space="preserve">Erhaltungsbedarf </t>
    </r>
    <r>
      <rPr>
        <sz val="9"/>
        <rFont val="Arial"/>
        <family val="2"/>
      </rPr>
      <t>(je kg TM)</t>
    </r>
  </si>
  <si>
    <r>
      <t xml:space="preserve">Leistungsbedarf </t>
    </r>
    <r>
      <rPr>
        <sz val="9"/>
        <rFont val="Arial"/>
        <family val="2"/>
      </rPr>
      <t>(je kg Milch)</t>
    </r>
  </si>
  <si>
    <t>Mischplan</t>
  </si>
  <si>
    <t>Bullenmast</t>
  </si>
  <si>
    <t>Rinderaufzucht</t>
  </si>
  <si>
    <t>Fleckvieh</t>
  </si>
  <si>
    <t>Holstein Frisian</t>
  </si>
  <si>
    <t>Grobfutter, ad lib Komponenten</t>
  </si>
  <si>
    <t>Konzentrate, rationiert</t>
  </si>
  <si>
    <t>Ration 1</t>
  </si>
  <si>
    <t>Lebendmasse</t>
  </si>
  <si>
    <t>Futteraufnahme</t>
  </si>
  <si>
    <t>Tabellen</t>
  </si>
  <si>
    <t>LM</t>
  </si>
  <si>
    <t>Erhaltung</t>
  </si>
  <si>
    <t>Sbt</t>
  </si>
  <si>
    <t>Ansatz</t>
  </si>
  <si>
    <t>IT</t>
  </si>
  <si>
    <t>MJNEL</t>
  </si>
  <si>
    <t>Färsen</t>
  </si>
  <si>
    <t>JV</t>
  </si>
  <si>
    <t>f(x)=a*epx(b*LM)</t>
  </si>
  <si>
    <t>b</t>
  </si>
  <si>
    <t>MJ/ME</t>
  </si>
  <si>
    <t>B_sbt</t>
  </si>
  <si>
    <t>B_FV</t>
  </si>
  <si>
    <t>F_sbt</t>
  </si>
  <si>
    <t>Quellen:</t>
  </si>
  <si>
    <t>Futterwerte</t>
  </si>
  <si>
    <t>DLG-Futterwerttabellen Wiederkäuer, 1997</t>
  </si>
  <si>
    <t>LfL-Information: Gruber Tabelle</t>
  </si>
  <si>
    <t>Grundfutterreport Baden-Württemberg 2014, LAZBW Aulendorf, 2015 &amp; ergänzende Auswertungen</t>
  </si>
  <si>
    <t>CVB Veevoedertabel</t>
  </si>
  <si>
    <t>Bedarfswerte</t>
  </si>
  <si>
    <t xml:space="preserve">Empfehlungen zur Energie- und Nährstoffversorgung der Milchkühe und Aufzuchtrinder, GfE, 2001 </t>
  </si>
  <si>
    <t xml:space="preserve">Empfehlungen zur Energie- und Nährstoffversorgung der Mastrinder, GfE, 1995 </t>
  </si>
  <si>
    <t>DLG-Information 1/2006 Schätzung der Futteraufnahme bei der Milchkuh, 2006</t>
  </si>
  <si>
    <t>Bestimmung des Futterwertes von ..., Landwirtschaftskammer Nordrhein-Westfalen, versch. Veröffentlichungen</t>
  </si>
  <si>
    <t>Formeln</t>
  </si>
  <si>
    <t>DLG, 2006:</t>
  </si>
  <si>
    <t>Gesamtfutteraufnahme Mastbullen</t>
  </si>
  <si>
    <t>Gesamtfutteraufnahme Milchkühe, getrennte Vorlage Standard</t>
  </si>
  <si>
    <t>Gesamtfutteraufnahme Milchkühe, TMR Standard</t>
  </si>
  <si>
    <t>IT=0,93*(3,878+Rasse(HF:-2,19;FV:-2,63;BV:-1,83)+Laktationszahl 1:-0,73;+0,22)+LTag(-4,287+4,153*(1-exp(-0,01486*LTag))+LM*(0,0148-0,0000474*LTag+0,0000000904*LTag²)+ML*(0,0825+0,0008098*LTag+0,000000966*LTag²)+KFTM*(0,6962-0,0023289*LTag+0,0000040634*LTag²)+NELgf*0,858)+0,47</t>
  </si>
  <si>
    <t>IT=0,92*(2,274+Rasse(HF:-1,449;FV:-2,169;BV:-1,391)+Laktationszahl 1:-0,658;+0,236)+LTag*(-5,445+5,298*(1-exp(-0,01838*LTag))+LM*(0,0173-0,0000514*LTag+0,0000000999*LTag²)+ML*(0,2010+0,000808*LTag+0,000001299*LTag²)+KF%*(0,631-0,0002096*LTag+0,0000001213*LTag²)+NELgf*0,609)+0,71</t>
  </si>
  <si>
    <t>k</t>
  </si>
  <si>
    <t>Rasse</t>
  </si>
  <si>
    <t>ECM</t>
  </si>
  <si>
    <t>KF</t>
  </si>
  <si>
    <t>Einfluss des Kraftfutterniveaus in der Stiermast auf die Mast- und Schlachtleistung bei Maissilage mit niedriger Energiekonzentration Gruber, L., in: 36. Viehwirtschaftliche Fachtagung 2009,S. 80</t>
  </si>
  <si>
    <t>Gesamtfutteraufnahme Schafe</t>
  </si>
  <si>
    <t>IT=0,9+LM*0,01+(ML-1)*0,4</t>
  </si>
  <si>
    <t>Gesamtfutteraufnahme Ziege</t>
  </si>
  <si>
    <t>Milchleistungsfutter (Abruffütterung!)</t>
  </si>
  <si>
    <t>Formeln_2</t>
  </si>
  <si>
    <t xml:space="preserve">*KFTM=ECM*0,493-9,25 </t>
  </si>
  <si>
    <t>IT= 0,173+0,01372*LM+1,470*LMZ</t>
  </si>
  <si>
    <t>Lehmann u. Kessler, 1994</t>
  </si>
  <si>
    <t>nXP-Mast und Aufzucht</t>
  </si>
  <si>
    <t>LM^0,524*16,9</t>
  </si>
  <si>
    <t>c</t>
  </si>
  <si>
    <t>Mittelwert</t>
  </si>
  <si>
    <t>LMZ</t>
  </si>
  <si>
    <t>LMZ²</t>
  </si>
  <si>
    <t>L_Bedarf</t>
  </si>
  <si>
    <t>Erh.Bedarf</t>
  </si>
  <si>
    <t xml:space="preserve">L-Bedarf </t>
  </si>
  <si>
    <t>Erh. Bedarf LM^0,75*0,53</t>
  </si>
  <si>
    <t>f(x)=a*e^LM)</t>
  </si>
  <si>
    <t>MJ ME/kg TM reicht für ca. g LMZ</t>
  </si>
  <si>
    <t>TagesZunahme (LMZ)</t>
  </si>
  <si>
    <t>Erh. Bedarf 2</t>
  </si>
  <si>
    <t>Mittelwert Ca</t>
  </si>
  <si>
    <t>Mittelwert P</t>
  </si>
  <si>
    <t>Mittelwert Mg</t>
  </si>
  <si>
    <t>Mittelwert Na</t>
  </si>
  <si>
    <t>f(x)=a*LMZ+b</t>
  </si>
  <si>
    <t>Mineralstoffe</t>
  </si>
  <si>
    <t>f(x)=a+b*LM+c*LM²</t>
  </si>
  <si>
    <t>f(x)=a+b*LM+c*LM²*LMZkg</t>
  </si>
  <si>
    <t>f(x)=a*LM^b</t>
  </si>
  <si>
    <t>nXP-Versorgung</t>
  </si>
  <si>
    <t>Nettobedarf am Duodenum</t>
  </si>
  <si>
    <t>...</t>
  </si>
  <si>
    <t>TM, %</t>
  </si>
  <si>
    <t xml:space="preserve">Futterrationsplanung mit dem "Uni_Rat"-Programm </t>
  </si>
  <si>
    <t>Bedienung</t>
  </si>
  <si>
    <t>Nachfolgend werden die einzelnen Arbeitsblätter und deren Verknüpfung untereinander dargestellt.</t>
  </si>
  <si>
    <t>Arbeitsblatt</t>
  </si>
  <si>
    <t>Funktion</t>
  </si>
  <si>
    <t>Verknüpfungen (Datenübergabe)</t>
  </si>
  <si>
    <t>Ration Milch</t>
  </si>
  <si>
    <t>Zuteilung Milchleistungsfutter</t>
  </si>
  <si>
    <t>TMR-Mischplan</t>
  </si>
  <si>
    <t>Ration Aufzucht-Mast</t>
  </si>
  <si>
    <t>Futter-bedarf</t>
  </si>
  <si>
    <t>Abw. V. Ziel</t>
  </si>
  <si>
    <t>Grenzwerte</t>
  </si>
  <si>
    <t>min</t>
  </si>
  <si>
    <t>max</t>
  </si>
  <si>
    <t>DLG 2006, Lehmann u. Kessler, GfE 2001</t>
  </si>
  <si>
    <t>g/kg TM</t>
  </si>
  <si>
    <t>Se</t>
  </si>
  <si>
    <t>mg</t>
  </si>
  <si>
    <t>mg/kg TM</t>
  </si>
  <si>
    <t>Ca:P</t>
  </si>
  <si>
    <t>Na:K</t>
  </si>
  <si>
    <t>% v. Bedarfsnorm (GfE 1996)</t>
  </si>
  <si>
    <t>Bedarfsnorm (GfE 1996)</t>
  </si>
  <si>
    <t>1:</t>
  </si>
  <si>
    <r>
      <t xml:space="preserve">Im Arbeitsblatt "Ration Milch" können einfache Futterrationen berechnet werden.
Der Rationsberechnung liegt ein dreistufiger Aufbau aus Grobfutter, Rationsausgleich und Milchleistungsfutter zugrunde.
Als Tierarten können Milchkühe, Milchschafe oder Milchziegen ausgewählt werden. 
Die Dateneingabe kann nach Auswahl entweder in Frischmasse oder als Trockenmasse erfolgen. Die Berechnungen erfolgen dabei grundsätzlich auf der Basis der Trockenmasse. 
Zur Vorhersage der Futteraufnahme ist es notwendig, Fütterungssystem (TMR oder Einzelkomponenten), die Rasse, die Latation und das Laktationsstadium einzugeben.
Gewicht, Milchleistung, sowie Milchinhaltsstoffe dienen der Bedarfsermittlung. Bei </t>
    </r>
    <r>
      <rPr>
        <b/>
        <sz val="10"/>
        <rFont val="Arial"/>
        <family val="2"/>
      </rPr>
      <t>Trocken</t>
    </r>
    <r>
      <rPr>
        <sz val="10"/>
        <rFont val="Arial"/>
        <family val="2"/>
      </rPr>
      <t xml:space="preserve">steherrationen ist hier der Buchstabe </t>
    </r>
    <r>
      <rPr>
        <b/>
        <sz val="10"/>
        <rFont val="Arial"/>
        <family val="2"/>
      </rPr>
      <t>T</t>
    </r>
    <r>
      <rPr>
        <sz val="10"/>
        <rFont val="Arial"/>
        <family val="2"/>
      </rPr>
      <t xml:space="preserve"> einzugeben um den Leistungsbedarf abzubilden.
Die Auswahl der Futtermittel erfolgt über Auswahlfelder. Sofern betriebsspezifische Futterwerte angenommen werden sollen, sind die Futtermittel in der Futterwerttabelle</t>
    </r>
    <r>
      <rPr>
        <b/>
        <sz val="10"/>
        <color theme="3" tint="0.39997558519241921"/>
        <rFont val="Arial"/>
        <family val="2"/>
      </rPr>
      <t xml:space="preserve"> "Futterwerte"</t>
    </r>
    <r>
      <rPr>
        <sz val="10"/>
        <rFont val="Arial"/>
        <family val="2"/>
      </rPr>
      <t xml:space="preserve">  anzulegen. Die entsprechenden Mengen werden in der 1. Spalte eingegeben.
Nach erfolgter Eingabe werden die Rationskennzahlen als Summe und je kg Trockenmasse ausgewiesen. Die theoretische Futteraufnahme wird der eingegebenen gegenüber gestellt. 
Die Mineralstoffversorgung wird als Bilanz dargestellt.
Eine Ampelfunktion zeigt die Plausibilität, bzw. Zulässigkeit wesentlicher Kennzahlen an. Lückenhafte Datensätze werden gekennzeichnet. Die Daten sind hier auf Plausibilität zu prüfen, evtl. fehlende Daten sind in der Futterwerttabelle </t>
    </r>
    <r>
      <rPr>
        <b/>
        <sz val="10"/>
        <color theme="4"/>
        <rFont val="Arial"/>
        <family val="2"/>
      </rPr>
      <t>"Futterwerte"</t>
    </r>
    <r>
      <rPr>
        <sz val="10"/>
        <rFont val="Arial"/>
        <family val="2"/>
      </rPr>
      <t xml:space="preserve"> zu ergänzen. 
Über die Gliederungsfunktion (+) lassen sich weitere Kennzahlen der Futterration ein- bzw. ausblenden.
Die ermittelten Ergebnisse lassen sich als festgelegter Druckbereich ausdrucken.</t>
    </r>
  </si>
  <si>
    <r>
      <t xml:space="preserve">Die Nährstoffgehalte werden aus der Eingabemaske </t>
    </r>
    <r>
      <rPr>
        <b/>
        <sz val="10"/>
        <color theme="4"/>
        <rFont val="Arial"/>
        <family val="2"/>
      </rPr>
      <t>"Futterwerte"</t>
    </r>
    <r>
      <rPr>
        <sz val="10"/>
        <rFont val="Arial"/>
        <family val="2"/>
      </rPr>
      <t xml:space="preserve"> übernommen.
Die Daten aus Grobfutter und Rationsausgleich werden an die Maske </t>
    </r>
    <r>
      <rPr>
        <b/>
        <sz val="10"/>
        <color theme="3" tint="0.39997558519241921"/>
        <rFont val="Arial"/>
        <family val="2"/>
      </rPr>
      <t xml:space="preserve">"Zuteilung-Milchleistungsfutter" </t>
    </r>
    <r>
      <rPr>
        <sz val="10"/>
        <rFont val="Arial"/>
        <family val="2"/>
      </rPr>
      <t xml:space="preserve">weitergegeben.
Die Futtermengen der Seite </t>
    </r>
    <r>
      <rPr>
        <b/>
        <sz val="10"/>
        <color theme="3" tint="0.39997558519241921"/>
        <rFont val="Arial"/>
        <family val="2"/>
      </rPr>
      <t>"Ration Milch-Mineralstoffe"</t>
    </r>
    <r>
      <rPr>
        <sz val="10"/>
        <rFont val="Arial"/>
        <family val="2"/>
      </rPr>
      <t xml:space="preserve"> basieren auf den auf Arbeitsblatt "Ration Milch" gemachten Angaben.
Die Toleranzbereiche der Rationskennzahlen können auf der Seite </t>
    </r>
    <r>
      <rPr>
        <b/>
        <sz val="10"/>
        <color theme="4"/>
        <rFont val="Arial"/>
        <family val="2"/>
      </rPr>
      <t>"Einstellungen"</t>
    </r>
    <r>
      <rPr>
        <sz val="10"/>
        <rFont val="Arial"/>
        <family val="2"/>
      </rPr>
      <t xml:space="preserve"> angepasst werden.</t>
    </r>
  </si>
  <si>
    <r>
      <t xml:space="preserve">Die Ergebnisse werden zur Seite </t>
    </r>
    <r>
      <rPr>
        <b/>
        <sz val="10"/>
        <color theme="4"/>
        <rFont val="Arial"/>
        <family val="2"/>
      </rPr>
      <t>"Ration Milch"</t>
    </r>
    <r>
      <rPr>
        <sz val="10"/>
        <rFont val="Arial"/>
        <family val="2"/>
      </rPr>
      <t xml:space="preserve"> übergeben.
Mineralstoffgehalte werden aus dem Arbeitsblatt </t>
    </r>
    <r>
      <rPr>
        <b/>
        <sz val="10"/>
        <color theme="4"/>
        <rFont val="Arial"/>
        <family val="2"/>
      </rPr>
      <t xml:space="preserve">"Futterwerte" </t>
    </r>
    <r>
      <rPr>
        <sz val="10"/>
        <rFont val="Arial"/>
        <family val="2"/>
      </rPr>
      <t>übernommen.</t>
    </r>
  </si>
  <si>
    <t>Bedarf</t>
  </si>
  <si>
    <t>IST</t>
  </si>
  <si>
    <t>Ausgleich ab kg Milch</t>
  </si>
  <si>
    <t>LM-Veränderung
g/Tag</t>
  </si>
  <si>
    <t>NEL-Bilanz
MJ</t>
  </si>
  <si>
    <t>RNB
g/Tag</t>
  </si>
  <si>
    <t>Se
g</t>
  </si>
  <si>
    <t>MLFmax, i.d.TM (Abruffütterung)</t>
  </si>
  <si>
    <t>MLFmin
(AMS)</t>
  </si>
  <si>
    <t>MLF-Transponder
(FM)</t>
  </si>
  <si>
    <t>NEL
MJ/kg TM</t>
  </si>
  <si>
    <t>AusgleichsKF
(FM)</t>
  </si>
  <si>
    <t>TM-Trogration</t>
  </si>
  <si>
    <t>nXP
g/kg TM</t>
  </si>
  <si>
    <t>NFC
g/kg TM</t>
  </si>
  <si>
    <t>NDF
g/kg TM</t>
  </si>
  <si>
    <t>LM-Veränderung</t>
  </si>
  <si>
    <t>g/Tag</t>
  </si>
  <si>
    <t>KF-Anteil
Trogration</t>
  </si>
  <si>
    <t>KF-Gesamt</t>
  </si>
  <si>
    <t>TM-Grobfutter</t>
  </si>
  <si>
    <t>je kg 
TM</t>
  </si>
  <si>
    <r>
      <t>Die Kennzahlen zur Trogration basieren auf den Seiten</t>
    </r>
    <r>
      <rPr>
        <b/>
        <sz val="10"/>
        <color theme="4"/>
        <rFont val="Arial"/>
        <family val="2"/>
      </rPr>
      <t xml:space="preserve"> "Ration Milch"</t>
    </r>
    <r>
      <rPr>
        <sz val="10"/>
        <rFont val="Arial"/>
        <family val="2"/>
      </rPr>
      <t xml:space="preserve"> und</t>
    </r>
    <r>
      <rPr>
        <b/>
        <sz val="10"/>
        <color theme="4"/>
        <rFont val="Arial"/>
        <family val="2"/>
      </rPr>
      <t xml:space="preserve"> "Ration Milch - Mineralstoffe"</t>
    </r>
    <r>
      <rPr>
        <sz val="10"/>
        <rFont val="Arial"/>
        <family val="2"/>
      </rPr>
      <t xml:space="preserve">. Die Futterwerte Die ausgewählten Leistungsfutter werden aus der </t>
    </r>
    <r>
      <rPr>
        <b/>
        <sz val="10"/>
        <color theme="4"/>
        <rFont val="Arial"/>
        <family val="2"/>
      </rPr>
      <t>"Futterwerttabelle"</t>
    </r>
    <r>
      <rPr>
        <sz val="10"/>
        <rFont val="Arial"/>
        <family val="2"/>
      </rPr>
      <t xml:space="preserve"> übernommen.Die Markierung kritischer Werte erfolgt auf Basis der </t>
    </r>
    <r>
      <rPr>
        <b/>
        <sz val="10"/>
        <color theme="4"/>
        <rFont val="Arial"/>
        <family val="2"/>
      </rPr>
      <t>"Einstellungen"</t>
    </r>
    <r>
      <rPr>
        <sz val="10"/>
        <rFont val="Arial"/>
        <family val="2"/>
      </rPr>
      <t>.</t>
    </r>
  </si>
  <si>
    <r>
      <t>Auf den Seiten</t>
    </r>
    <r>
      <rPr>
        <b/>
        <sz val="10"/>
        <color theme="4"/>
        <rFont val="Arial"/>
        <family val="2"/>
      </rPr>
      <t xml:space="preserve"> "Eigenmischungen"</t>
    </r>
    <r>
      <rPr>
        <sz val="10"/>
        <rFont val="Arial"/>
        <family val="2"/>
      </rPr>
      <t xml:space="preserve"> und </t>
    </r>
    <r>
      <rPr>
        <b/>
        <sz val="10"/>
        <color theme="4"/>
        <rFont val="Arial"/>
        <family val="2"/>
      </rPr>
      <t>"TMR Mischplan"</t>
    </r>
    <r>
      <rPr>
        <sz val="10"/>
        <rFont val="Arial"/>
        <family val="2"/>
      </rPr>
      <t xml:space="preserve"> berechnete Daten werden übernommen.
Eine Datenübergabe findet zu den Arbeitsblättern </t>
    </r>
    <r>
      <rPr>
        <b/>
        <sz val="10"/>
        <color theme="4"/>
        <rFont val="Arial"/>
        <family val="2"/>
      </rPr>
      <t>"Eigenmischungen", "Ration Milch"</t>
    </r>
    <r>
      <rPr>
        <sz val="10"/>
        <rFont val="Arial"/>
        <family val="2"/>
      </rPr>
      <t xml:space="preserve">, </t>
    </r>
    <r>
      <rPr>
        <b/>
        <sz val="10"/>
        <color theme="4"/>
        <rFont val="Arial"/>
        <family val="2"/>
      </rPr>
      <t>"Ration Milch - Mineralstoffe"</t>
    </r>
    <r>
      <rPr>
        <sz val="10"/>
        <rFont val="Arial"/>
        <family val="2"/>
      </rPr>
      <t xml:space="preserve">, </t>
    </r>
    <r>
      <rPr>
        <b/>
        <sz val="10"/>
        <color theme="4"/>
        <rFont val="Arial"/>
        <family val="2"/>
      </rPr>
      <t>"Zuteilung-Milchleistungsfutter"</t>
    </r>
    <r>
      <rPr>
        <sz val="10"/>
        <rFont val="Arial"/>
        <family val="2"/>
      </rPr>
      <t xml:space="preserve">, </t>
    </r>
    <r>
      <rPr>
        <b/>
        <sz val="10"/>
        <color theme="4"/>
        <rFont val="Arial"/>
        <family val="2"/>
      </rPr>
      <t>"TMR-Mischplan"</t>
    </r>
    <r>
      <rPr>
        <sz val="10"/>
        <rFont val="Arial"/>
        <family val="2"/>
      </rPr>
      <t xml:space="preserve"> und </t>
    </r>
    <r>
      <rPr>
        <b/>
        <sz val="10"/>
        <color theme="4"/>
        <rFont val="Arial"/>
        <family val="2"/>
      </rPr>
      <t>"Ration Aufzucht-Mast"</t>
    </r>
    <r>
      <rPr>
        <sz val="10"/>
        <rFont val="Arial"/>
        <family val="2"/>
      </rPr>
      <t xml:space="preserve"> statt.</t>
    </r>
  </si>
  <si>
    <t>Ration Milch-Mineralstoffe</t>
  </si>
  <si>
    <r>
      <t xml:space="preserve">Die Nährstoffgehalte werden aus der Eingabemaske </t>
    </r>
    <r>
      <rPr>
        <b/>
        <sz val="10"/>
        <color theme="4"/>
        <rFont val="Arial"/>
        <family val="2"/>
      </rPr>
      <t>"Futterwerte"</t>
    </r>
    <r>
      <rPr>
        <sz val="10"/>
        <rFont val="Arial"/>
        <family val="2"/>
      </rPr>
      <t xml:space="preserve"> übernommen.
Die berechneten Daten werden an </t>
    </r>
    <r>
      <rPr>
        <b/>
        <sz val="10"/>
        <color theme="4"/>
        <rFont val="Arial"/>
        <family val="2"/>
      </rPr>
      <t>"Futterwerte"</t>
    </r>
    <r>
      <rPr>
        <sz val="10"/>
        <rFont val="Arial"/>
        <family val="2"/>
      </rPr>
      <t xml:space="preserve"> übergeben.</t>
    </r>
  </si>
  <si>
    <r>
      <t xml:space="preserve">Grundlage der Berechnungen ist die Tabelle </t>
    </r>
    <r>
      <rPr>
        <b/>
        <sz val="10"/>
        <color theme="4"/>
        <rFont val="Arial"/>
        <family val="2"/>
      </rPr>
      <t>"Futterwerte"</t>
    </r>
    <r>
      <rPr>
        <sz val="10"/>
        <rFont val="Arial"/>
        <family val="2"/>
      </rPr>
      <t xml:space="preserve">.
Die Ergebnisse werden an </t>
    </r>
    <r>
      <rPr>
        <b/>
        <sz val="10"/>
        <color theme="4"/>
        <rFont val="Arial"/>
        <family val="2"/>
      </rPr>
      <t>"Futterwerte"</t>
    </r>
    <r>
      <rPr>
        <sz val="10"/>
        <rFont val="Arial"/>
        <family val="2"/>
      </rPr>
      <t xml:space="preserve"> übergeben.</t>
    </r>
  </si>
  <si>
    <r>
      <t xml:space="preserve">Das Arbeitsblatt "Ration Aufzucht-Mast" bietet die Möglichkeit Rationen für Aufzuchtrinder und Mastbullen zu berechnen. 
Nach Auswahl der in </t>
    </r>
    <r>
      <rPr>
        <b/>
        <sz val="10"/>
        <color theme="4"/>
        <rFont val="Arial"/>
        <family val="2"/>
      </rPr>
      <t>"Futterwerte"</t>
    </r>
    <r>
      <rPr>
        <sz val="10"/>
        <rFont val="Arial"/>
        <family val="2"/>
      </rPr>
      <t xml:space="preserve"> hinterlegten Futtermittel können deren Mengen für den zuvor festgelegten Gewichtsabschnitt eingegeben werden. Hierbei können variable und fixe Komponenten festgelegt werden.
Neben den Kennzahlen für den ausgewählten Gewichtsbereich werden zu erwartende Futteraufnahme und Tageszunahmen für abweichende Lebendmassebereiche dargestellt. Die Proteinversorgung wird visualisiert.
</t>
    </r>
  </si>
  <si>
    <r>
      <t xml:space="preserve">Im Arbeitsblatt "Ration Milch - Mineralstoffe" erfolgt die Bilanzierung der Mineralstoffgehalte. Die im Arbeitsblatt </t>
    </r>
    <r>
      <rPr>
        <b/>
        <sz val="10"/>
        <color theme="4"/>
        <rFont val="Arial"/>
        <family val="2"/>
      </rPr>
      <t>"Ration Milch"</t>
    </r>
    <r>
      <rPr>
        <sz val="10"/>
        <rFont val="Arial"/>
        <family val="2"/>
      </rPr>
      <t xml:space="preserve"> ausgewählten Futtermittel und die in der Futterwerttabelle </t>
    </r>
    <r>
      <rPr>
        <b/>
        <sz val="10"/>
        <color theme="4"/>
        <rFont val="Arial"/>
        <family val="2"/>
      </rPr>
      <t>"Futterwerte"</t>
    </r>
    <r>
      <rPr>
        <sz val="10"/>
        <rFont val="Arial"/>
        <family val="2"/>
      </rPr>
      <t xml:space="preserve"> gemachten Angaben werden übernommen. 
Unvollständige Datensätze werden markiert und sind ggf. auf der Seite </t>
    </r>
    <r>
      <rPr>
        <b/>
        <sz val="10"/>
        <color theme="4"/>
        <rFont val="Arial"/>
        <family val="2"/>
      </rPr>
      <t>"Futterwerte"</t>
    </r>
    <r>
      <rPr>
        <sz val="10"/>
        <rFont val="Arial"/>
        <family val="2"/>
      </rPr>
      <t xml:space="preserve"> zu vervollständigen.</t>
    </r>
  </si>
  <si>
    <r>
      <t xml:space="preserve">Die Übernahme der Nährstoffgehalte erfolgt von der Seite </t>
    </r>
    <r>
      <rPr>
        <b/>
        <sz val="10"/>
        <color theme="4"/>
        <rFont val="Arial"/>
        <family val="2"/>
      </rPr>
      <t xml:space="preserve">"Futterwerte". 
</t>
    </r>
    <r>
      <rPr>
        <sz val="10"/>
        <rFont val="Arial"/>
        <family val="2"/>
      </rPr>
      <t>Die Bedarfswerte sind aus verschiedenen Quellen (GfE, Gruber) abgeleitet und auf der Seite</t>
    </r>
    <r>
      <rPr>
        <b/>
        <sz val="10"/>
        <color theme="4"/>
        <rFont val="Arial"/>
        <family val="2"/>
      </rPr>
      <t xml:space="preserve"> "Info" dargestellt.</t>
    </r>
  </si>
  <si>
    <t xml:space="preserve">Rationsberechnung für </t>
  </si>
  <si>
    <t>Milchvieh, Aufzuchtrinder, Mastbullen</t>
  </si>
  <si>
    <t>Milchziegen, Milchschafe</t>
  </si>
  <si>
    <t>Lakttag</t>
  </si>
  <si>
    <t>Leistungsniveau, kg ECM</t>
  </si>
  <si>
    <t>Konz.pred.</t>
  </si>
  <si>
    <t>MLFTransges.</t>
  </si>
  <si>
    <t>Grundration, incl. Rationsausgleich 
(Trogration, "Ration Milch")</t>
  </si>
  <si>
    <t>Milchleistungsfutter 
(Abruffütterung)</t>
  </si>
  <si>
    <t>Kosten</t>
  </si>
  <si>
    <t>€/kg</t>
  </si>
  <si>
    <t>€/dt FM</t>
  </si>
  <si>
    <t>€</t>
  </si>
  <si>
    <t>ct/kg MEW</t>
  </si>
  <si>
    <t>Kosten €/Tier</t>
  </si>
  <si>
    <t>Kosten ct/kg MEW</t>
  </si>
  <si>
    <t>UDP, %</t>
  </si>
  <si>
    <t>Kosten €/dt</t>
  </si>
  <si>
    <t>Kosten €/Tag</t>
  </si>
  <si>
    <t>€/kg FM</t>
  </si>
  <si>
    <t>€/kg KF</t>
  </si>
  <si>
    <t>DCAB</t>
  </si>
  <si>
    <t>meq/kg TM</t>
  </si>
  <si>
    <t>meq</t>
  </si>
  <si>
    <t>DCAB lakt.</t>
  </si>
  <si>
    <t>DCAB trocken</t>
  </si>
  <si>
    <t>meq (Staufenbiel 2007)</t>
  </si>
  <si>
    <t>-</t>
  </si>
  <si>
    <t>RNB trocken</t>
  </si>
  <si>
    <t>Mischung 1</t>
  </si>
  <si>
    <t>Mischung 2</t>
  </si>
  <si>
    <t>Mischung 4</t>
  </si>
  <si>
    <t>Mischung 5</t>
  </si>
  <si>
    <t>Mischung 6</t>
  </si>
  <si>
    <t>Mischung 7</t>
  </si>
  <si>
    <t>Mischung 8</t>
  </si>
  <si>
    <t>Mischung 9</t>
  </si>
  <si>
    <t>Hafer, grün</t>
  </si>
  <si>
    <t>GPS, Hafer, BW</t>
  </si>
  <si>
    <t>Roggen, BW gut</t>
  </si>
  <si>
    <t>Roggen, BW mittel</t>
  </si>
  <si>
    <t>Roggen, BW gering</t>
  </si>
  <si>
    <t>GPS, Weizen, BW</t>
  </si>
  <si>
    <t>Luzerne, 1. S., BW gut</t>
  </si>
  <si>
    <t>Luzerne, 1. S., BW mittel</t>
  </si>
  <si>
    <t>Luzerne, 1. S., BW gering</t>
  </si>
  <si>
    <t>Luzerne-Gras-Gemenge, 1. S. BW gut</t>
  </si>
  <si>
    <t>Luzerne-Gras-Gemenge, Folgeschnitt BW gut</t>
  </si>
  <si>
    <t>Luzerne-Gras-Gemenge, 1. S. BW mittel</t>
  </si>
  <si>
    <t>Luzerne-Gras-Gemenge, 1. S. BW gering</t>
  </si>
  <si>
    <t>Luzerne-Gras-Gemenge, Folgeschnitt BW mittel</t>
  </si>
  <si>
    <t>Luzerne-Gras-Gemenge, Folgeschnitt BW gering</t>
  </si>
  <si>
    <t>Rotklee-Gras-Gemenge, 1. S. BW gut</t>
  </si>
  <si>
    <t>Rotklee-Gras-Gemenge, 1. S. BW mittel</t>
  </si>
  <si>
    <t>Rotklee-Gras-Gemenge, 1. S. BW gering</t>
  </si>
  <si>
    <t>Rotklee-Gras-Gemenge, Folgeschnitt, BW gut</t>
  </si>
  <si>
    <t>Rotklee-Gras-Gemenge, Folgeschnitt, BW mittel</t>
  </si>
  <si>
    <t>Rotklee-Gras-Gemenge, Folgeschnitt, BW gering</t>
  </si>
  <si>
    <t>Kleegras, grasreich, Folgeaufwuchs, BW gut</t>
  </si>
  <si>
    <t>Kleegras, grasreich, Folgeaufwuchs, BW mittel</t>
  </si>
  <si>
    <t>Kleegras, grasreich, Folgeaufwuchs, BW gering</t>
  </si>
  <si>
    <t>Kleegras, grasreich, 1. S., BW gut</t>
  </si>
  <si>
    <t>Kleegras, grasreich, 1. S., BW mittel</t>
  </si>
  <si>
    <t>Kleegras, grasreich, 1. S., BW gering</t>
  </si>
  <si>
    <t>Weidelgras, Welsches, BW gut</t>
  </si>
  <si>
    <t>Weidelgras, Welsches, BW mittel</t>
  </si>
  <si>
    <t>Weidelgras, Welsches, BW gering</t>
  </si>
  <si>
    <t xml:space="preserve">Heu, 1. S., Bodentrocknung, BW extensiv, gut </t>
  </si>
  <si>
    <t>Heu, 1. S., Bodentrocknung, BW extensiv, mittel</t>
  </si>
  <si>
    <t xml:space="preserve">Heu, 1. S., Bodentrocknung, BW extensiv, gering </t>
  </si>
  <si>
    <t xml:space="preserve">Heu, 2. S., Bodentrocknung, BW extensiv, gut </t>
  </si>
  <si>
    <t>Heu, 2. S., Bodentrocknung, BW extensiv, mittel</t>
  </si>
  <si>
    <t xml:space="preserve">Heu, 2. S., Bodentrocknung, BW extensiv, gering </t>
  </si>
  <si>
    <t xml:space="preserve">Heu, 3. S., Bodentrocknung, BW extensiv, gut </t>
  </si>
  <si>
    <t>Heu, 3. S., Bodentrocknung, BW extensiv, mittel</t>
  </si>
  <si>
    <t>Grünland, 2. Nutzung, BW extensiv, gut</t>
  </si>
  <si>
    <t>Grünland, 2. Nutzung, BW extensiv, mittel</t>
  </si>
  <si>
    <t>Grünland, 2. Nutzung, BW extensiv, gering</t>
  </si>
  <si>
    <t>Grünland, 1. Nutzung, BW intensiv, gut</t>
  </si>
  <si>
    <t>Grünland, 1. Nutzung, BW intensiv, mittel</t>
  </si>
  <si>
    <t>Grünland, 1. Nutzung, BW intensiv, gering</t>
  </si>
  <si>
    <t>Grünland, 2. Nutzung, BW intensiv, gut</t>
  </si>
  <si>
    <t>Grünland, 2. Nutzung, BW intensiv, mittel</t>
  </si>
  <si>
    <t>Grünland, 2. Nutzung, BW intensiv, gering</t>
  </si>
  <si>
    <t>Grünland, Folgenutzung, BW intensiv, gut</t>
  </si>
  <si>
    <t>Grünland, Folgenutzung, BW intensiv, gering</t>
  </si>
  <si>
    <t>Heu, 3. S., Heißlufttrocknung, BW intensiv</t>
  </si>
  <si>
    <t>Heu, 3. S., Heißlufttrocknung, BW mittel</t>
  </si>
  <si>
    <t>Heu, 3. S., Heißlufttrocknung, BW gering</t>
  </si>
  <si>
    <t xml:space="preserve">Heu, 1. S., Unterdachtrocknung, BW intensiv, gut </t>
  </si>
  <si>
    <t xml:space="preserve">Heu, 1. S., Unterdachtrocknung, BW intensiv, mittel </t>
  </si>
  <si>
    <t>Heu, 1. S., Unterdachtrocknung, BW intensiv, gering</t>
  </si>
  <si>
    <t xml:space="preserve">Heu, 2. S., Unterdachtrocknung, BW intensiv, gut </t>
  </si>
  <si>
    <t xml:space="preserve">Heu, 2. S., Unterdachtrocknung, BW intensiv, mittel </t>
  </si>
  <si>
    <t>Heu, 2. S., Unterdachtrocknung, BW intensiv, gering</t>
  </si>
  <si>
    <t xml:space="preserve">Heu, 3. S., Bodentrocknung, BW intensiv, gering </t>
  </si>
  <si>
    <t xml:space="preserve">Heu, 1. S., Bodentrocknung, BW intensiv, gut </t>
  </si>
  <si>
    <t>Heu, 1. S., Bodentrocknung, BW intensiv, mittel</t>
  </si>
  <si>
    <t xml:space="preserve">Heu, 1. S., Bodentrocknung, BW intensiv, gering </t>
  </si>
  <si>
    <t xml:space="preserve">Heu, 2. S., Bodentrocknung, BW intensiv, gut </t>
  </si>
  <si>
    <t>Heu, 2. S., Bodentrocknung, BW intensiv, mittel</t>
  </si>
  <si>
    <t xml:space="preserve">Heu, 2. S., Bodentrocknung, BW intensiv, gering </t>
  </si>
  <si>
    <t xml:space="preserve">Heu, 3. S., Unterdachtrocknung, BW intensiv, gut </t>
  </si>
  <si>
    <t xml:space="preserve">Heu, 3. S., Unterdachtrocknung, BW intensiv, mittel </t>
  </si>
  <si>
    <t>Heu, 3. S., Unterdachtrocknung, BW intensiv, gering</t>
  </si>
  <si>
    <t>Grassilage, 1. S, BW extensiv, gut</t>
  </si>
  <si>
    <t>Grassilage, 1. S, BW extensiv, mittel</t>
  </si>
  <si>
    <t>Grassilage, 1. S, BW extensiv, gering</t>
  </si>
  <si>
    <t>Grassilage, 2. S, BW extensiv, gut</t>
  </si>
  <si>
    <t>Grassilage, 2. S, BW extensiv, mittel</t>
  </si>
  <si>
    <t>Grassilage, 2. S, BW extensiv, gering</t>
  </si>
  <si>
    <t>Grassilage, 3. S, BW extensiv, gut</t>
  </si>
  <si>
    <t>Grassilage, 3. S, BW extensiv, mittel</t>
  </si>
  <si>
    <t>Grassilage, 3. S, BW extensiv, gering</t>
  </si>
  <si>
    <t>Grassilage, 1. S, BW intensiv, gut</t>
  </si>
  <si>
    <t>Grassilage, 1. S, BW intensiv, mittel</t>
  </si>
  <si>
    <t>Grassilage, 1. S, BW intensiv, gering</t>
  </si>
  <si>
    <t>Grassilage, 2. S, BW intensiv, gut</t>
  </si>
  <si>
    <t>Grassilage, 2. S, BW intensiv, mittel</t>
  </si>
  <si>
    <t>Grassilage, 2. S, BW intensiv, gering</t>
  </si>
  <si>
    <t>Grassilage, 3. S, BW intensiv, gut</t>
  </si>
  <si>
    <t>Grassilage, 3. S, BW intensiv, mittel</t>
  </si>
  <si>
    <t>Grassilage, 3. S, BW intensiv, gering</t>
  </si>
  <si>
    <t>Grassilage, 4. S, BW intensiv, gut</t>
  </si>
  <si>
    <t>Grassilage, 4. S, BW intensiv, mittel</t>
  </si>
  <si>
    <t>Grassilage, 4. S, BW intensiv, gering</t>
  </si>
  <si>
    <t>Mais</t>
  </si>
  <si>
    <t>Luzerne, Folgeschnitt, BW gut</t>
  </si>
  <si>
    <t>Luzerne, Folgeschnitt, BW mittel</t>
  </si>
  <si>
    <t>Luzerne, Folgeschnitt, BW gering</t>
  </si>
  <si>
    <t>Weidelgras, Deutsches, 1 S., BW gut</t>
  </si>
  <si>
    <t>Weidelgras, Deutsches, 1 S., BW mittel</t>
  </si>
  <si>
    <t>Weidelgras, Deutsches, 1 S., BW gering</t>
  </si>
  <si>
    <t>Weidelgras, Deutsches, Folgeaufwuchs, BW gut</t>
  </si>
  <si>
    <t>Weidelgras, Deutsches, Folgeaufwuchs, BW mittel</t>
  </si>
  <si>
    <t>Weidelgras, Deutsches, Folgeaufwuchs, BW gering</t>
  </si>
  <si>
    <t>Milchleistungsfutter (Bsp.)</t>
  </si>
  <si>
    <t>MLF 18/3 getreidereich</t>
  </si>
  <si>
    <t>MLF 18/3 getreidearm</t>
  </si>
  <si>
    <t>MLF 20/4 getreidereich</t>
  </si>
  <si>
    <t>MLF 20/4 getreidearm</t>
  </si>
  <si>
    <t>MLF 18/3 nXP+</t>
  </si>
  <si>
    <t>MLF 20/4 nXP+</t>
  </si>
  <si>
    <t>Mineralfutter 20/0</t>
  </si>
  <si>
    <t>Bearbeiter*in:</t>
  </si>
  <si>
    <t>E. Gerster</t>
  </si>
  <si>
    <t>Silphie, Ende Blüte</t>
  </si>
  <si>
    <t>SI</t>
  </si>
  <si>
    <t>Rohasche</t>
  </si>
  <si>
    <t>GPS, Gerste, BW körnerreich 50%</t>
  </si>
  <si>
    <t>GPS, Gerste, BW körnerarm 30%</t>
  </si>
  <si>
    <t>Rapskuchen /-expeller , 15% Fett</t>
  </si>
  <si>
    <t>% d. XS</t>
  </si>
  <si>
    <t>GPS, Hirse (Silosorte)</t>
  </si>
  <si>
    <t>% d. XP</t>
  </si>
  <si>
    <t>Stärke+Zucker</t>
  </si>
  <si>
    <t>Wasser (FM!)</t>
  </si>
  <si>
    <t>beständige</t>
  </si>
  <si>
    <t>pansen-</t>
  </si>
  <si>
    <t>abbaubare</t>
  </si>
  <si>
    <t>G</t>
  </si>
  <si>
    <t>aNDFom</t>
  </si>
  <si>
    <r>
      <t>aNDFom</t>
    </r>
    <r>
      <rPr>
        <vertAlign val="subscript"/>
        <sz val="9"/>
        <rFont val="Arial"/>
        <family val="2"/>
      </rPr>
      <t>GF</t>
    </r>
  </si>
  <si>
    <t>aNDFomGF</t>
  </si>
  <si>
    <t>K2</t>
  </si>
  <si>
    <t>K4</t>
  </si>
  <si>
    <t>K6</t>
  </si>
  <si>
    <t>K8</t>
  </si>
  <si>
    <t>XS, g/kg TM</t>
  </si>
  <si>
    <r>
      <t>NDF</t>
    </r>
    <r>
      <rPr>
        <b/>
        <vertAlign val="subscript"/>
        <sz val="9"/>
        <rFont val="Arial"/>
        <family val="2"/>
      </rPr>
      <t>OM</t>
    </r>
    <r>
      <rPr>
        <b/>
        <sz val="9"/>
        <rFont val="Arial"/>
        <family val="2"/>
      </rPr>
      <t>, g/kg TM</t>
    </r>
  </si>
  <si>
    <t>Art</t>
  </si>
  <si>
    <r>
      <t>aNDF</t>
    </r>
    <r>
      <rPr>
        <vertAlign val="subscript"/>
        <sz val="9"/>
        <rFont val="Arial"/>
        <family val="2"/>
      </rPr>
      <t>omGF</t>
    </r>
  </si>
  <si>
    <r>
      <t>MEW NEL, kg ECM</t>
    </r>
    <r>
      <rPr>
        <b/>
        <vertAlign val="subscript"/>
        <sz val="9"/>
        <rFont val="Arial"/>
        <family val="2"/>
      </rPr>
      <t>700</t>
    </r>
  </si>
  <si>
    <r>
      <t>MEW nXP, kg ECM</t>
    </r>
    <r>
      <rPr>
        <b/>
        <vertAlign val="subscript"/>
        <sz val="9"/>
        <rFont val="Arial"/>
        <family val="2"/>
      </rPr>
      <t>700</t>
    </r>
  </si>
  <si>
    <r>
      <t>NDF</t>
    </r>
    <r>
      <rPr>
        <b/>
        <vertAlign val="subscript"/>
        <sz val="9"/>
        <rFont val="Arial"/>
        <family val="2"/>
      </rPr>
      <t>OM</t>
    </r>
    <r>
      <rPr>
        <b/>
        <sz val="9"/>
        <rFont val="Arial"/>
        <family val="2"/>
      </rPr>
      <t>GF, g/kg TM</t>
    </r>
  </si>
  <si>
    <t>XL, g/kg TM</t>
  </si>
  <si>
    <t>Laktationstag</t>
  </si>
  <si>
    <t>NEL_GF</t>
  </si>
  <si>
    <t>TM_GF</t>
  </si>
  <si>
    <t>Eigene Analysen Mineral und Sonderfuttermittel</t>
  </si>
  <si>
    <t>Eigene Analysen Konzentrate und Mischfutter</t>
  </si>
  <si>
    <t>für Erhaltung</t>
  </si>
  <si>
    <t>für Milch gesamt</t>
  </si>
  <si>
    <t>gesamt</t>
  </si>
  <si>
    <t>&lt; 50 g/kg TM</t>
  </si>
  <si>
    <t xml:space="preserve">XS+XZ-bXS
g/kg TM
</t>
  </si>
  <si>
    <t>aNDFomGF g/kg TM</t>
  </si>
  <si>
    <t>XS+XZ-bXS</t>
  </si>
  <si>
    <t>PMR_blau</t>
  </si>
  <si>
    <t>K9</t>
  </si>
  <si>
    <t>K1</t>
  </si>
  <si>
    <t>K3</t>
  </si>
  <si>
    <t>K5</t>
  </si>
  <si>
    <t>K7</t>
  </si>
  <si>
    <t>UniRat 2025</t>
  </si>
  <si>
    <t>"Uni-Rat" ist ein einfach zu bedienendes, auf der Basis der Tabellenkalkulation MS-Excel programmiertes Rationsberechnungsprogramm für Rinder, Schafe und Ziegen.
Das Programm umfasst Möglichkeiten der Berechnung von Einzelkomponentenrationen, Teilmischrationen (PMR) in Kombination mit einer Abruffütterung bis hin zur Gesamtmischration (TMR). Ergänzend können Konzentratfutterlisten und Mischpläne erstellt werden. 
"Uni-Rat" ist mit seiner Nutzerführung und den eingebundenen Darstellungen für den schulischen Einsatz in der landwirtschaftlichen Aus- und Fortbildung konzipiert.</t>
  </si>
  <si>
    <r>
      <t xml:space="preserve">Das Arbeitsblatt "Futterwerte" bietet die Möglichkeit auf tabellierte Futterwerte zurückzugreifen, betriebseigene Futtermittel anzulegen und eigene Futterwertananlysen aufzunehmen. Von allen Kalkulationsseiten wird auf diese Werte zurückgegriffen. Eigenmischungen der Seiten </t>
    </r>
    <r>
      <rPr>
        <b/>
        <sz val="10"/>
        <color theme="4"/>
        <rFont val="Arial"/>
        <family val="2"/>
      </rPr>
      <t>"Eigenmischungen"</t>
    </r>
    <r>
      <rPr>
        <sz val="10"/>
        <rFont val="Arial"/>
        <family val="2"/>
      </rPr>
      <t xml:space="preserve"> und </t>
    </r>
    <r>
      <rPr>
        <b/>
        <sz val="10"/>
        <color theme="4"/>
        <rFont val="Arial"/>
        <family val="2"/>
      </rPr>
      <t>"TMR Mischplan"</t>
    </r>
    <r>
      <rPr>
        <sz val="10"/>
        <rFont val="Arial"/>
        <family val="2"/>
      </rPr>
      <t xml:space="preserve"> werden an die Stelle übernommen und stehen so für die weitere Rationsplanung zur Verfügung (Vorsicht! Keine Weiterverwendung auf der Ursprungsseite möglich!).
Beim Anlegen eigener Futtermittel können die Daten vorhandener Futtermittel kopiert werden. Hierdurch lassen sich Datenlücken, die zu Fehlern in den Berechnungen führen können, vermeiden.  
Werden Grobfutter neu angelegt, ist in der ersten Spalte darauf zu achten, dass dort als Kürzel "G" eingetragen ist. So weiß UniRat, dass diese Komponenten ein Grobfuttermittel ist und kann darauf aufnauende Berechnungen (etwa aNDFomGF oder den Strukturindex SI) korrekt durchführen.</t>
    </r>
  </si>
  <si>
    <t>Die Eingabemaske "Eigenmischung" erlaubt es, betriebseigene Mischungen zu erstellen und zugekaufte Mischfutter anhand einer offenen Deklaration zu kalkulieren. Die benötigten Komponenten werden aus dem Datenbestand der "Futterwerte" ausgewählt. DIe Kalkulation erfolgt auf Basis der %-Anteile in der Frischmasse, die Sie eingeben. Eine Plausibilitätsprüfung kontrolliert die Vollständigkeit der Mischung. Energiestufe und Nährstoffgehalte werden in einer Übersicht zusammengefasst. Die Seite kann als Mischanweisung ausgedruckt werden.</t>
  </si>
  <si>
    <r>
      <t xml:space="preserve">Das Arbeitsblatt "Zuteilung Milchleistungsfutter" dient der Erstellung einer Konzentratfutterliste als Grundlage der tierindividuellen Konzentratfutterzuteilung. 
Die Kalkulation erfolgt auf der Basis der in </t>
    </r>
    <r>
      <rPr>
        <b/>
        <sz val="10"/>
        <color theme="4"/>
        <rFont val="Arial"/>
        <family val="2"/>
      </rPr>
      <t>"Ration Milch"</t>
    </r>
    <r>
      <rPr>
        <sz val="10"/>
        <rFont val="Arial"/>
        <family val="2"/>
      </rPr>
      <t xml:space="preserve"> angelegten Ration aus Grobfutter und Rationsausgleich. Wird mit einem Futtermischwagen nach dem Konzept der Teilmischration (PMR) gearbeitet, so ist diese auf der Seite </t>
    </r>
    <r>
      <rPr>
        <b/>
        <sz val="10"/>
        <color theme="4"/>
        <rFont val="Arial"/>
        <family val="2"/>
      </rPr>
      <t>"Ration Milch"</t>
    </r>
    <r>
      <rPr>
        <sz val="10"/>
        <rFont val="Arial"/>
        <family val="2"/>
      </rPr>
      <t xml:space="preserve"> anzulegen. Ergänzend hierzu werden im Spaltenkopf ergänzende Angaben zum Konzentratfuttereinsatz gemacht.
Es kann mit zwei verschiedenen Leistungsfuttern gearbeitet werden. Das</t>
    </r>
    <r>
      <rPr>
        <b/>
        <sz val="10"/>
        <rFont val="Arial"/>
        <family val="2"/>
      </rPr>
      <t xml:space="preserve"> </t>
    </r>
    <r>
      <rPr>
        <sz val="10"/>
        <rFont val="Arial"/>
        <family val="2"/>
      </rPr>
      <t>ausgewählte</t>
    </r>
    <r>
      <rPr>
        <b/>
        <sz val="10"/>
        <rFont val="Arial"/>
        <family val="2"/>
      </rPr>
      <t xml:space="preserve"> Ausgleichsfutter</t>
    </r>
    <r>
      <rPr>
        <sz val="10"/>
        <rFont val="Arial"/>
        <family val="2"/>
      </rPr>
      <t xml:space="preserve"> wird ab der festgelegten Leistungsuntergrenze fix zugeteilt. 
Ein zweites ausgewähltes Leistungsfutter wird je nach Milchleistung und zu erwartenden Futteraufnahme automatisch zugeteilt. Bei Nutzung eines </t>
    </r>
    <r>
      <rPr>
        <b/>
        <sz val="10"/>
        <rFont val="Arial"/>
        <family val="2"/>
      </rPr>
      <t>AMS</t>
    </r>
    <r>
      <rPr>
        <sz val="10"/>
        <rFont val="Arial"/>
        <family val="2"/>
      </rPr>
      <t xml:space="preserve"> kann die Lockfuttergabe als Minimalmenge vorgegeben werden. Es besteht darüber hinaus die Möglichkeit das das automatisch zugeteilte Milchleistungsfutter als Rationsanteil zu begrenzen.
Einflüsse von Managementniveau, Haltungs- und klimatischen Bedingungen können über die Korrektur der TM-Aufnahme berücksichtigt werden. 
Über die Gliederungsfunktion (+) lassen sich weitere Kennzahlen der Futterration ein- bzw. ausblenden.
Die ermittelten Ergebnisse lassen sich als festgelegter Druckbereich ausdrucken.</t>
    </r>
  </si>
  <si>
    <t>Die Seite "TMR-Mischplan" dient der Erstellung von Mischplänen. Nach Auswahl der benötigten betriebseigenen und zugekauften Komponenten werden die Rationsanteile eingegeben. Nach Festlegung  "TM/FM" im Rationskopf können die Mengen sowohl in Frischmasse als auch in  Trockenmasse eingegeben werden. Mischplan und Nährstoffübersicht können ausgedruckt werden. Die freigehaltenen Zeile "peNDF" dienen dem Eintrag von Siebungsergebnissen (Schüttelbox).</t>
  </si>
  <si>
    <t>Ausgleichsfutter
(Abruffütterung)</t>
  </si>
  <si>
    <t>Konzentratfutterliste - Abruffütterung</t>
  </si>
  <si>
    <t>Ausgleichsfutter, kg/Tag (fix)</t>
  </si>
  <si>
    <t>KF-Aufwand</t>
  </si>
  <si>
    <t>Eigene Analysen (Grobfutter)</t>
  </si>
  <si>
    <t xml:space="preserve">im Pansen </t>
  </si>
  <si>
    <t>nicht abge-</t>
  </si>
  <si>
    <t>bautes XP</t>
  </si>
  <si>
    <t>masse</t>
  </si>
  <si>
    <t>ab</t>
  </si>
  <si>
    <t>XS+XZ-bXS, g/kg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</si>
</sst>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6">
    <numFmt numFmtId="164" formatCode="_-* #,##0.00\ _D_M_-;\-* #,##0.00\ _D_M_-;_-* &quot;-&quot;??\ _D_M_-;_-@_-"/>
    <numFmt numFmtId="165" formatCode="0.0"/>
    <numFmt numFmtId="166" formatCode="0.000"/>
    <numFmt numFmtId="167" formatCode=";;;"/>
    <numFmt numFmtId="168" formatCode="0.0%"/>
    <numFmt numFmtId="169" formatCode="0\g"/>
    <numFmt numFmtId="170" formatCode=";;"/>
    <numFmt numFmtId="171" formatCode="dd/mm/yy\ \ \ \ \ h:mm"/>
    <numFmt numFmtId="172" formatCode="0.0&quot; kg&quot;"/>
    <numFmt numFmtId="173" formatCode="0.00&quot; kg&quot;"/>
    <numFmt numFmtId="174" formatCode="0.00\ &quot;MJ/kg TM&quot;"/>
    <numFmt numFmtId="175" formatCode="0&quot;g/kg TM&quot;"/>
    <numFmt numFmtId="176" formatCode="0\ &quot;kg&quot;"/>
    <numFmt numFmtId="177" formatCode="0\ &quot;g&quot;"/>
    <numFmt numFmtId="178" formatCode="0.0\ &quot;kg&quot;"/>
    <numFmt numFmtId="179" formatCode="0%\ &quot;TS&quot;"/>
    <numFmt numFmtId="180" formatCode="0&quot; kg&quot;"/>
    <numFmt numFmtId="181" formatCode="0.000000"/>
    <numFmt numFmtId="182" formatCode="0\ &quot;g/kg ECM&quot;"/>
    <numFmt numFmtId="183" formatCode="\+_##0.0;[Red]\-_##0.0"/>
    <numFmt numFmtId="184" formatCode="0.0&quot; g/kg TM&quot;"/>
    <numFmt numFmtId="185" formatCode="0&quot; g/kg TM&quot;"/>
    <numFmt numFmtId="186" formatCode="\+_##0;[Black]\-_##0"/>
    <numFmt numFmtId="187" formatCode="\+_##0.0;[Black]\-_##0.0"/>
    <numFmt numFmtId="188" formatCode="0.00\g"/>
    <numFmt numFmtId="189" formatCode="0%\ &quot;TM&quot;"/>
  </numFmts>
  <fonts count="61" x14ac:knownFonts="1">
    <font>
      <sz val="10"/>
      <name val="Arial"/>
    </font>
    <font>
      <b/>
      <sz val="10"/>
      <name val="Arial"/>
      <family val="2"/>
    </font>
    <font>
      <sz val="10"/>
      <name val="Arial"/>
      <family val="2"/>
    </font>
    <font>
      <sz val="10"/>
      <name val="Times New Roman"/>
      <family val="1"/>
    </font>
    <font>
      <sz val="12"/>
      <name val="Arial"/>
      <family val="2"/>
    </font>
    <font>
      <sz val="14"/>
      <name val="Arial"/>
      <family val="2"/>
    </font>
    <font>
      <sz val="11"/>
      <name val="Arial"/>
      <family val="2"/>
    </font>
    <font>
      <b/>
      <sz val="12"/>
      <name val="Arial"/>
      <family val="2"/>
    </font>
    <font>
      <sz val="8"/>
      <name val="Arial"/>
      <family val="2"/>
    </font>
    <font>
      <sz val="9"/>
      <name val="Arial"/>
      <family val="2"/>
    </font>
    <font>
      <b/>
      <sz val="11"/>
      <name val="Arial"/>
      <family val="2"/>
    </font>
    <font>
      <sz val="8"/>
      <color indexed="81"/>
      <name val="Tahoma"/>
      <family val="2"/>
    </font>
    <font>
      <sz val="12"/>
      <color indexed="81"/>
      <name val="Tahoma"/>
      <family val="2"/>
    </font>
    <font>
      <b/>
      <sz val="9"/>
      <name val="Arial"/>
      <family val="2"/>
    </font>
    <font>
      <b/>
      <sz val="8"/>
      <name val="Arial"/>
      <family val="2"/>
    </font>
    <font>
      <sz val="9"/>
      <name val="Times New Roman"/>
      <family val="1"/>
    </font>
    <font>
      <sz val="9"/>
      <color indexed="12"/>
      <name val="Arial"/>
      <family val="2"/>
    </font>
    <font>
      <b/>
      <sz val="9"/>
      <color indexed="10"/>
      <name val="Arial"/>
      <family val="2"/>
    </font>
    <font>
      <sz val="9"/>
      <name val="Wingdings"/>
      <charset val="2"/>
    </font>
    <font>
      <b/>
      <sz val="9"/>
      <name val="Wingdings"/>
      <charset val="2"/>
    </font>
    <font>
      <sz val="7"/>
      <name val="Arial"/>
      <family val="2"/>
    </font>
    <font>
      <b/>
      <sz val="7"/>
      <name val="Arial"/>
      <family val="2"/>
    </font>
    <font>
      <sz val="7.5"/>
      <name val="Arial"/>
      <family val="2"/>
    </font>
    <font>
      <b/>
      <sz val="9"/>
      <color rgb="FFFF0000"/>
      <name val="Arial"/>
      <family val="2"/>
    </font>
    <font>
      <sz val="12"/>
      <name val="Wingdings"/>
      <charset val="2"/>
    </font>
    <font>
      <b/>
      <sz val="12"/>
      <name val="Wingdings"/>
      <charset val="2"/>
    </font>
    <font>
      <b/>
      <sz val="9"/>
      <color indexed="18"/>
      <name val="Arial"/>
      <family val="2"/>
    </font>
    <font>
      <b/>
      <sz val="9"/>
      <color indexed="32"/>
      <name val="Arial"/>
      <family val="2"/>
    </font>
    <font>
      <b/>
      <i/>
      <sz val="9"/>
      <name val="Arial"/>
      <family val="2"/>
    </font>
    <font>
      <i/>
      <sz val="7"/>
      <name val="Arial"/>
      <family val="2"/>
    </font>
    <font>
      <i/>
      <sz val="7"/>
      <name val="Courier New"/>
      <family val="3"/>
    </font>
    <font>
      <vertAlign val="superscript"/>
      <sz val="9"/>
      <name val="Arial"/>
      <family val="2"/>
    </font>
    <font>
      <b/>
      <i/>
      <u/>
      <sz val="9"/>
      <name val="Arial"/>
      <family val="2"/>
    </font>
    <font>
      <i/>
      <u/>
      <sz val="9"/>
      <name val="Arial"/>
      <family val="2"/>
    </font>
    <font>
      <b/>
      <vertAlign val="subscript"/>
      <sz val="9"/>
      <name val="Arial"/>
      <family val="2"/>
    </font>
    <font>
      <sz val="10"/>
      <color rgb="FF000000"/>
      <name val="Arial"/>
      <family val="2"/>
    </font>
    <font>
      <sz val="11"/>
      <color rgb="FF000000"/>
      <name val="Arial"/>
      <family val="2"/>
    </font>
    <font>
      <u/>
      <sz val="10"/>
      <color theme="10"/>
      <name val="Arial"/>
      <family val="2"/>
    </font>
    <font>
      <b/>
      <sz val="10"/>
      <color theme="3" tint="0.39997558519241921"/>
      <name val="Arial"/>
      <family val="2"/>
    </font>
    <font>
      <b/>
      <sz val="9"/>
      <color theme="1"/>
      <name val="Arial"/>
      <family val="2"/>
    </font>
    <font>
      <b/>
      <sz val="9"/>
      <color rgb="FF0000CC"/>
      <name val="Arial"/>
      <family val="2"/>
    </font>
    <font>
      <b/>
      <sz val="8"/>
      <color theme="1"/>
      <name val="Arial"/>
      <family val="2"/>
    </font>
    <font>
      <sz val="8"/>
      <color theme="1"/>
      <name val="Arial"/>
      <family val="2"/>
    </font>
    <font>
      <sz val="7"/>
      <color rgb="FF0000CC"/>
      <name val="Arial"/>
      <family val="2"/>
    </font>
    <font>
      <b/>
      <sz val="10"/>
      <color theme="4"/>
      <name val="Arial"/>
      <family val="2"/>
    </font>
    <font>
      <b/>
      <sz val="16"/>
      <name val="Arial"/>
      <family val="2"/>
    </font>
    <font>
      <sz val="48"/>
      <color theme="0" tint="-0.499984740745262"/>
      <name val="Arial"/>
      <family val="2"/>
    </font>
    <font>
      <sz val="10"/>
      <color theme="0" tint="-0.499984740745262"/>
      <name val="Arial"/>
      <family val="2"/>
    </font>
    <font>
      <b/>
      <sz val="18"/>
      <color theme="0" tint="-0.499984740745262"/>
      <name val="Arial"/>
      <family val="2"/>
    </font>
    <font>
      <sz val="14"/>
      <color theme="0" tint="-0.499984740745262"/>
      <name val="Arial"/>
      <family val="2"/>
    </font>
    <font>
      <b/>
      <sz val="12"/>
      <color rgb="FFFFFF00"/>
      <name val="Arial"/>
      <family val="2"/>
    </font>
    <font>
      <sz val="9"/>
      <color indexed="81"/>
      <name val="Segoe UI"/>
      <family val="2"/>
    </font>
    <font>
      <b/>
      <sz val="9"/>
      <color indexed="81"/>
      <name val="Segoe UI"/>
      <family val="2"/>
    </font>
    <font>
      <vertAlign val="subscript"/>
      <sz val="9"/>
      <name val="Arial"/>
      <family val="2"/>
    </font>
    <font>
      <sz val="9"/>
      <color theme="0" tint="-4.9989318521683403E-2"/>
      <name val="Arial"/>
      <family val="2"/>
    </font>
    <font>
      <sz val="9"/>
      <color rgb="FFFFFF00"/>
      <name val="Arial"/>
      <family val="2"/>
    </font>
    <font>
      <sz val="9"/>
      <color rgb="FFFFFFCC"/>
      <name val="Arial"/>
      <family val="2"/>
    </font>
    <font>
      <sz val="9"/>
      <color rgb="FFC00000"/>
      <name val="Arial"/>
      <family val="2"/>
    </font>
    <font>
      <sz val="9"/>
      <color theme="1"/>
      <name val="Arial"/>
      <family val="2"/>
    </font>
    <font>
      <sz val="8"/>
      <color rgb="FFFFFFE0"/>
      <name val="Arial"/>
      <family val="2"/>
    </font>
    <font>
      <b/>
      <sz val="12"/>
      <color rgb="FFC00000"/>
      <name val="Arial"/>
      <family val="2"/>
    </font>
  </fonts>
  <fills count="31">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55"/>
        <bgColor indexed="64"/>
      </patternFill>
    </fill>
    <fill>
      <patternFill patternType="solid">
        <fgColor rgb="FFFFFFDD"/>
        <bgColor indexed="64"/>
      </patternFill>
    </fill>
    <fill>
      <patternFill patternType="solid">
        <fgColor rgb="FFCCFFCC"/>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rgb="FFFFFFE1"/>
        <bgColor indexed="64"/>
      </patternFill>
    </fill>
    <fill>
      <patternFill patternType="solid">
        <fgColor theme="0" tint="-4.9989318521683403E-2"/>
        <bgColor indexed="64"/>
      </patternFill>
    </fill>
    <fill>
      <patternFill patternType="solid">
        <fgColor rgb="FFDDDDDD"/>
        <bgColor indexed="64"/>
      </patternFill>
    </fill>
    <fill>
      <patternFill patternType="solid">
        <fgColor rgb="FFCBCBCB"/>
        <bgColor indexed="64"/>
      </patternFill>
    </fill>
    <fill>
      <patternFill patternType="solid">
        <fgColor rgb="FFFFFF99"/>
        <bgColor indexed="64"/>
      </patternFill>
    </fill>
    <fill>
      <patternFill patternType="solid">
        <fgColor theme="0" tint="-0.14996795556505021"/>
        <bgColor indexed="64"/>
      </patternFill>
    </fill>
    <fill>
      <patternFill patternType="solid">
        <fgColor rgb="FFEAEAEA"/>
        <bgColor indexed="64"/>
      </patternFill>
    </fill>
    <fill>
      <patternFill patternType="solid">
        <fgColor rgb="FF92D050"/>
        <bgColor indexed="64"/>
      </patternFill>
    </fill>
    <fill>
      <patternFill patternType="solid">
        <fgColor rgb="FFF9F9E7"/>
        <bgColor indexed="64"/>
      </patternFill>
    </fill>
    <fill>
      <patternFill patternType="solid">
        <fgColor rgb="FFFFFFE0"/>
        <bgColor indexed="64"/>
      </patternFill>
    </fill>
    <fill>
      <patternFill patternType="solid">
        <fgColor rgb="FFE6E6E6"/>
        <bgColor indexed="64"/>
      </patternFill>
    </fill>
    <fill>
      <patternFill patternType="solid">
        <fgColor theme="9" tint="-0.249977111117893"/>
        <bgColor indexed="64"/>
      </patternFill>
    </fill>
    <fill>
      <patternFill patternType="solid">
        <fgColor rgb="FF2AFFF0"/>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rgb="FFFFFFCC"/>
        <bgColor indexed="64"/>
      </patternFill>
    </fill>
    <fill>
      <patternFill patternType="solid">
        <fgColor theme="3" tint="0.39997558519241921"/>
        <bgColor indexed="64"/>
      </patternFill>
    </fill>
  </fills>
  <borders count="136">
    <border>
      <left/>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top style="medium">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style="thin">
        <color indexed="64"/>
      </left>
      <right style="thin">
        <color indexed="64"/>
      </right>
      <top/>
      <bottom/>
      <diagonal/>
    </border>
    <border>
      <left style="thin">
        <color indexed="64"/>
      </left>
      <right/>
      <top/>
      <bottom/>
      <diagonal/>
    </border>
    <border>
      <left style="double">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double">
        <color indexed="64"/>
      </right>
      <top/>
      <bottom style="double">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thin">
        <color indexed="64"/>
      </right>
      <top/>
      <bottom/>
      <diagonal/>
    </border>
    <border>
      <left style="double">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double">
        <color auto="1"/>
      </top>
      <bottom/>
      <diagonal/>
    </border>
    <border>
      <left style="thin">
        <color indexed="64"/>
      </left>
      <right style="thin">
        <color indexed="64"/>
      </right>
      <top style="double">
        <color auto="1"/>
      </top>
      <bottom/>
      <diagonal/>
    </border>
    <border>
      <left style="thin">
        <color indexed="64"/>
      </left>
      <right style="medium">
        <color indexed="64"/>
      </right>
      <top style="double">
        <color auto="1"/>
      </top>
      <bottom/>
      <diagonal/>
    </border>
    <border>
      <left style="medium">
        <color indexed="64"/>
      </left>
      <right style="double">
        <color auto="1"/>
      </right>
      <top style="double">
        <color auto="1"/>
      </top>
      <bottom/>
      <diagonal/>
    </border>
    <border>
      <left style="medium">
        <color indexed="64"/>
      </left>
      <right style="double">
        <color auto="1"/>
      </right>
      <top/>
      <bottom style="medium">
        <color indexed="64"/>
      </bottom>
      <diagonal/>
    </border>
    <border>
      <left style="medium">
        <color indexed="64"/>
      </left>
      <right style="double">
        <color auto="1"/>
      </right>
      <top/>
      <bottom style="thin">
        <color indexed="64"/>
      </bottom>
      <diagonal/>
    </border>
    <border>
      <left style="medium">
        <color indexed="64"/>
      </left>
      <right style="double">
        <color auto="1"/>
      </right>
      <top style="thin">
        <color indexed="64"/>
      </top>
      <bottom style="thin">
        <color indexed="64"/>
      </bottom>
      <diagonal/>
    </border>
    <border>
      <left style="medium">
        <color indexed="64"/>
      </left>
      <right style="double">
        <color auto="1"/>
      </right>
      <top style="thin">
        <color indexed="64"/>
      </top>
      <bottom/>
      <diagonal/>
    </border>
    <border>
      <left style="medium">
        <color indexed="64"/>
      </left>
      <right style="double">
        <color auto="1"/>
      </right>
      <top style="medium">
        <color indexed="64"/>
      </top>
      <bottom/>
      <diagonal/>
    </border>
    <border>
      <left style="double">
        <color auto="1"/>
      </left>
      <right/>
      <top style="double">
        <color auto="1"/>
      </top>
      <bottom style="medium">
        <color indexed="64"/>
      </bottom>
      <diagonal/>
    </border>
    <border>
      <left style="thin">
        <color indexed="64"/>
      </left>
      <right style="thin">
        <color indexed="64"/>
      </right>
      <top style="double">
        <color auto="1"/>
      </top>
      <bottom style="medium">
        <color indexed="64"/>
      </bottom>
      <diagonal/>
    </border>
    <border>
      <left style="thin">
        <color indexed="64"/>
      </left>
      <right style="medium">
        <color indexed="64"/>
      </right>
      <top style="double">
        <color auto="1"/>
      </top>
      <bottom style="medium">
        <color indexed="64"/>
      </bottom>
      <diagonal/>
    </border>
    <border>
      <left style="thin">
        <color indexed="64"/>
      </left>
      <right style="double">
        <color indexed="64"/>
      </right>
      <top style="medium">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auto="1"/>
      </top>
      <bottom style="thin">
        <color auto="1"/>
      </bottom>
      <diagonal/>
    </border>
    <border>
      <left/>
      <right style="double">
        <color indexed="64"/>
      </right>
      <top style="thin">
        <color auto="1"/>
      </top>
      <bottom style="thin">
        <color auto="1"/>
      </bottom>
      <diagonal/>
    </border>
    <border>
      <left style="double">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auto="1"/>
      </left>
      <right style="thin">
        <color auto="1"/>
      </right>
      <top style="thin">
        <color auto="1"/>
      </top>
      <bottom/>
      <diagonal/>
    </border>
    <border>
      <left style="double">
        <color auto="1"/>
      </left>
      <right/>
      <top style="medium">
        <color auto="1"/>
      </top>
      <bottom style="double">
        <color auto="1"/>
      </bottom>
      <diagonal/>
    </border>
    <border>
      <left/>
      <right/>
      <top style="medium">
        <color auto="1"/>
      </top>
      <bottom style="double">
        <color auto="1"/>
      </bottom>
      <diagonal/>
    </border>
    <border>
      <left/>
      <right style="double">
        <color auto="1"/>
      </right>
      <top style="medium">
        <color auto="1"/>
      </top>
      <bottom style="double">
        <color auto="1"/>
      </bottom>
      <diagonal/>
    </border>
    <border>
      <left style="thin">
        <color auto="1"/>
      </left>
      <right style="thin">
        <color auto="1"/>
      </right>
      <top style="thin">
        <color auto="1"/>
      </top>
      <bottom/>
      <diagonal/>
    </border>
    <border>
      <left/>
      <right style="double">
        <color indexed="64"/>
      </right>
      <top/>
      <bottom style="thin">
        <color indexed="64"/>
      </bottom>
      <diagonal/>
    </border>
    <border>
      <left/>
      <right/>
      <top style="thin">
        <color auto="1"/>
      </top>
      <bottom style="thin">
        <color auto="1"/>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thin">
        <color indexed="64"/>
      </top>
      <bottom/>
      <diagonal/>
    </border>
    <border>
      <left/>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s>
  <cellStyleXfs count="12">
    <xf numFmtId="0" fontId="0" fillId="0" borderId="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7" fillId="0" borderId="0" applyNumberFormat="0" applyFill="0" applyBorder="0" applyAlignment="0" applyProtection="0"/>
  </cellStyleXfs>
  <cellXfs count="1490">
    <xf numFmtId="0" fontId="0" fillId="0" borderId="0" xfId="0"/>
    <xf numFmtId="0" fontId="2" fillId="0" borderId="0" xfId="7"/>
    <xf numFmtId="0" fontId="4" fillId="0" borderId="0" xfId="7" applyFont="1"/>
    <xf numFmtId="0" fontId="5" fillId="0" borderId="0" xfId="7" applyFont="1" applyAlignment="1">
      <alignment vertical="top"/>
    </xf>
    <xf numFmtId="0" fontId="5" fillId="0" borderId="0" xfId="7" applyFont="1" applyAlignment="1">
      <alignment horizontal="center"/>
    </xf>
    <xf numFmtId="0" fontId="5" fillId="0" borderId="0" xfId="7" applyFont="1"/>
    <xf numFmtId="166" fontId="2" fillId="0" borderId="0" xfId="7" applyNumberFormat="1"/>
    <xf numFmtId="0" fontId="2" fillId="0" borderId="0" xfId="9"/>
    <xf numFmtId="0" fontId="2" fillId="0" borderId="0" xfId="5"/>
    <xf numFmtId="0" fontId="2" fillId="0" borderId="0" xfId="5" applyAlignment="1">
      <alignment horizontal="centerContinuous" vertical="center"/>
    </xf>
    <xf numFmtId="0" fontId="2" fillId="0" borderId="0" xfId="5" applyAlignment="1">
      <alignment vertical="center"/>
    </xf>
    <xf numFmtId="165" fontId="2" fillId="0" borderId="0" xfId="5" applyNumberFormat="1" applyAlignment="1">
      <alignment horizontal="center" vertical="center"/>
    </xf>
    <xf numFmtId="1" fontId="2" fillId="0" borderId="0" xfId="5" applyNumberFormat="1" applyAlignment="1">
      <alignment vertical="center"/>
    </xf>
    <xf numFmtId="49" fontId="2" fillId="0" borderId="0" xfId="5" applyNumberFormat="1" applyAlignment="1">
      <alignment vertical="center"/>
    </xf>
    <xf numFmtId="0" fontId="2" fillId="0" borderId="0" xfId="5" applyAlignment="1">
      <alignment horizontal="center" vertical="center"/>
    </xf>
    <xf numFmtId="49" fontId="2" fillId="0" borderId="0" xfId="5" applyNumberFormat="1" applyAlignment="1">
      <alignment horizontal="center" vertical="center"/>
    </xf>
    <xf numFmtId="49" fontId="2" fillId="0" borderId="0" xfId="5" applyNumberFormat="1"/>
    <xf numFmtId="1" fontId="2" fillId="0" borderId="0" xfId="5" applyNumberFormat="1" applyAlignment="1">
      <alignment horizontal="center" vertical="center"/>
    </xf>
    <xf numFmtId="165" fontId="2" fillId="0" borderId="0" xfId="5" applyNumberFormat="1" applyAlignment="1">
      <alignment vertical="center"/>
    </xf>
    <xf numFmtId="165" fontId="2" fillId="0" borderId="0" xfId="5" applyNumberFormat="1"/>
    <xf numFmtId="0" fontId="2" fillId="0" borderId="0" xfId="5" applyAlignment="1" applyProtection="1">
      <alignment vertical="center"/>
      <protection locked="0"/>
    </xf>
    <xf numFmtId="1" fontId="2" fillId="0" borderId="0" xfId="5" applyNumberFormat="1"/>
    <xf numFmtId="170" fontId="9" fillId="5" borderId="54" xfId="7" applyNumberFormat="1" applyFont="1" applyFill="1" applyBorder="1" applyAlignment="1" applyProtection="1">
      <alignment horizontal="centerContinuous"/>
      <protection locked="0"/>
    </xf>
    <xf numFmtId="0" fontId="9" fillId="0" borderId="0" xfId="7" applyFont="1"/>
    <xf numFmtId="170" fontId="9" fillId="0" borderId="33" xfId="7" applyNumberFormat="1" applyFont="1" applyBorder="1" applyAlignment="1" applyProtection="1">
      <alignment horizontal="left" vertical="center"/>
      <protection locked="0"/>
    </xf>
    <xf numFmtId="170" fontId="9" fillId="0" borderId="22" xfId="7" applyNumberFormat="1" applyFont="1" applyBorder="1" applyAlignment="1" applyProtection="1">
      <alignment horizontal="left" vertical="center"/>
      <protection locked="0"/>
    </xf>
    <xf numFmtId="170" fontId="9" fillId="0" borderId="17" xfId="7" applyNumberFormat="1" applyFont="1" applyBorder="1" applyAlignment="1" applyProtection="1">
      <alignment horizontal="left" vertical="center"/>
      <protection locked="0"/>
    </xf>
    <xf numFmtId="0" fontId="9" fillId="0" borderId="0" xfId="7" applyFont="1" applyProtection="1">
      <protection locked="0"/>
    </xf>
    <xf numFmtId="0" fontId="9" fillId="0" borderId="0" xfId="7" applyFont="1" applyAlignment="1" applyProtection="1">
      <alignment vertical="top"/>
      <protection locked="0"/>
    </xf>
    <xf numFmtId="2" fontId="9" fillId="0" borderId="76" xfId="7" applyNumberFormat="1" applyFont="1" applyBorder="1" applyAlignment="1" applyProtection="1">
      <alignment horizontal="center" vertical="center"/>
      <protection locked="0"/>
    </xf>
    <xf numFmtId="2" fontId="9" fillId="0" borderId="75" xfId="7" applyNumberFormat="1" applyFont="1" applyBorder="1" applyAlignment="1" applyProtection="1">
      <alignment horizontal="center" vertical="center"/>
      <protection locked="0"/>
    </xf>
    <xf numFmtId="2" fontId="9" fillId="0" borderId="83" xfId="7" applyNumberFormat="1" applyFont="1" applyBorder="1" applyAlignment="1" applyProtection="1">
      <alignment horizontal="center" vertical="center"/>
      <protection locked="0"/>
    </xf>
    <xf numFmtId="2" fontId="9" fillId="0" borderId="74" xfId="7" applyNumberFormat="1" applyFont="1" applyBorder="1" applyAlignment="1" applyProtection="1">
      <alignment horizontal="center" vertical="center"/>
      <protection locked="0"/>
    </xf>
    <xf numFmtId="1" fontId="9" fillId="0" borderId="4" xfId="7" applyNumberFormat="1" applyFont="1" applyBorder="1" applyAlignment="1" applyProtection="1">
      <alignment horizontal="center" vertical="center"/>
      <protection locked="0"/>
    </xf>
    <xf numFmtId="0" fontId="9" fillId="0" borderId="25" xfId="7" applyFont="1" applyBorder="1" applyAlignment="1" applyProtection="1">
      <alignment horizontal="center" vertical="center"/>
      <protection locked="0"/>
    </xf>
    <xf numFmtId="0" fontId="9" fillId="0" borderId="47" xfId="7" applyFont="1" applyBorder="1" applyAlignment="1" applyProtection="1">
      <alignment horizontal="center" vertical="center"/>
      <protection locked="0"/>
    </xf>
    <xf numFmtId="165" fontId="9" fillId="0" borderId="48" xfId="7" applyNumberFormat="1" applyFont="1" applyBorder="1" applyAlignment="1" applyProtection="1">
      <alignment horizontal="center" vertical="center"/>
      <protection locked="0"/>
    </xf>
    <xf numFmtId="165" fontId="9" fillId="0" borderId="57" xfId="7" applyNumberFormat="1" applyFont="1" applyBorder="1" applyAlignment="1" applyProtection="1">
      <alignment horizontal="center" vertical="center"/>
      <protection locked="0"/>
    </xf>
    <xf numFmtId="0" fontId="9" fillId="0" borderId="0" xfId="7" applyFont="1" applyAlignment="1">
      <alignment horizontal="center" vertical="center"/>
    </xf>
    <xf numFmtId="0" fontId="9" fillId="12" borderId="0" xfId="5" applyFont="1" applyFill="1" applyAlignment="1">
      <alignment horizontal="center" vertical="center"/>
    </xf>
    <xf numFmtId="0" fontId="8" fillId="8" borderId="100" xfId="0" applyFont="1" applyFill="1" applyBorder="1" applyAlignment="1" applyProtection="1">
      <alignment horizontal="center"/>
      <protection hidden="1"/>
    </xf>
    <xf numFmtId="0" fontId="8" fillId="8" borderId="0" xfId="0" applyFont="1" applyFill="1" applyProtection="1">
      <protection hidden="1"/>
    </xf>
    <xf numFmtId="0" fontId="8" fillId="8" borderId="3" xfId="0" applyFont="1" applyFill="1" applyBorder="1" applyAlignment="1" applyProtection="1">
      <alignment horizontal="left" indent="1"/>
      <protection hidden="1"/>
    </xf>
    <xf numFmtId="0" fontId="8" fillId="8" borderId="0" xfId="0" applyFont="1" applyFill="1" applyAlignment="1" applyProtection="1">
      <alignment horizontal="center"/>
      <protection hidden="1"/>
    </xf>
    <xf numFmtId="0" fontId="8" fillId="8" borderId="0" xfId="0" applyFont="1" applyFill="1" applyAlignment="1" applyProtection="1">
      <alignment horizontal="left" indent="1"/>
      <protection hidden="1"/>
    </xf>
    <xf numFmtId="0" fontId="8" fillId="8" borderId="8" xfId="0" applyFont="1" applyFill="1" applyBorder="1" applyAlignment="1" applyProtection="1">
      <alignment horizontal="center"/>
      <protection hidden="1"/>
    </xf>
    <xf numFmtId="167" fontId="8" fillId="8" borderId="0" xfId="1" applyNumberFormat="1" applyFont="1" applyFill="1" applyBorder="1" applyAlignment="1" applyProtection="1">
      <alignment horizontal="center" vertical="center"/>
      <protection hidden="1"/>
    </xf>
    <xf numFmtId="0" fontId="8" fillId="8" borderId="8" xfId="0" applyFont="1" applyFill="1" applyBorder="1" applyProtection="1">
      <protection hidden="1"/>
    </xf>
    <xf numFmtId="167" fontId="8" fillId="8" borderId="0" xfId="0" applyNumberFormat="1" applyFont="1" applyFill="1" applyAlignment="1" applyProtection="1">
      <alignment horizontal="center"/>
      <protection hidden="1"/>
    </xf>
    <xf numFmtId="0" fontId="0" fillId="14" borderId="0" xfId="0" applyFill="1"/>
    <xf numFmtId="167" fontId="14" fillId="8" borderId="3" xfId="0" applyNumberFormat="1" applyFont="1" applyFill="1" applyBorder="1" applyAlignment="1" applyProtection="1">
      <alignment horizontal="left" vertical="top" indent="1"/>
      <protection hidden="1"/>
    </xf>
    <xf numFmtId="167" fontId="14" fillId="8" borderId="0" xfId="0" applyNumberFormat="1" applyFont="1" applyFill="1" applyAlignment="1" applyProtection="1">
      <alignment horizontal="left" vertical="top" indent="1"/>
      <protection hidden="1"/>
    </xf>
    <xf numFmtId="167" fontId="8" fillId="8" borderId="8" xfId="0" applyNumberFormat="1" applyFont="1" applyFill="1" applyBorder="1" applyAlignment="1" applyProtection="1">
      <alignment horizontal="center"/>
      <protection hidden="1"/>
    </xf>
    <xf numFmtId="167" fontId="8" fillId="8" borderId="0" xfId="0" applyNumberFormat="1" applyFont="1" applyFill="1" applyProtection="1">
      <protection hidden="1"/>
    </xf>
    <xf numFmtId="167" fontId="13" fillId="8" borderId="0" xfId="1" applyNumberFormat="1" applyFont="1" applyFill="1" applyBorder="1" applyAlignment="1" applyProtection="1">
      <alignment horizontal="center"/>
      <protection hidden="1"/>
    </xf>
    <xf numFmtId="176" fontId="9" fillId="8" borderId="0" xfId="0" applyNumberFormat="1" applyFont="1" applyFill="1" applyAlignment="1" applyProtection="1">
      <alignment horizontal="center"/>
      <protection hidden="1"/>
    </xf>
    <xf numFmtId="165" fontId="9" fillId="8" borderId="8" xfId="0" applyNumberFormat="1" applyFont="1" applyFill="1" applyBorder="1" applyAlignment="1" applyProtection="1">
      <alignment horizontal="center"/>
      <protection hidden="1"/>
    </xf>
    <xf numFmtId="165" fontId="9" fillId="15" borderId="8" xfId="0" applyNumberFormat="1" applyFont="1" applyFill="1" applyBorder="1" applyAlignment="1" applyProtection="1">
      <alignment horizontal="center"/>
      <protection hidden="1"/>
    </xf>
    <xf numFmtId="167" fontId="9" fillId="8" borderId="61" xfId="0" applyNumberFormat="1" applyFont="1" applyFill="1" applyBorder="1" applyAlignment="1" applyProtection="1">
      <alignment horizontal="center"/>
      <protection hidden="1"/>
    </xf>
    <xf numFmtId="167" fontId="9" fillId="8" borderId="10" xfId="0" applyNumberFormat="1" applyFont="1" applyFill="1" applyBorder="1" applyAlignment="1" applyProtection="1">
      <alignment horizontal="center"/>
      <protection hidden="1"/>
    </xf>
    <xf numFmtId="178" fontId="9" fillId="8" borderId="10" xfId="0" applyNumberFormat="1" applyFont="1" applyFill="1" applyBorder="1" applyAlignment="1" applyProtection="1">
      <alignment horizontal="center"/>
      <protection hidden="1"/>
    </xf>
    <xf numFmtId="164" fontId="8" fillId="8" borderId="0" xfId="1" applyFont="1" applyFill="1" applyProtection="1">
      <protection hidden="1"/>
    </xf>
    <xf numFmtId="0" fontId="8" fillId="8" borderId="0" xfId="0" applyFont="1" applyFill="1" applyAlignment="1" applyProtection="1">
      <alignment horizontal="left" vertical="top" wrapText="1"/>
      <protection hidden="1"/>
    </xf>
    <xf numFmtId="164" fontId="8" fillId="8" borderId="0" xfId="1" applyFont="1" applyFill="1" applyAlignment="1" applyProtection="1">
      <alignment horizontal="left" vertical="top" wrapText="1"/>
      <protection hidden="1"/>
    </xf>
    <xf numFmtId="1" fontId="9" fillId="14" borderId="0" xfId="7" applyNumberFormat="1" applyFont="1" applyFill="1" applyAlignment="1">
      <alignment horizontal="center" vertical="center"/>
    </xf>
    <xf numFmtId="0" fontId="2" fillId="13" borderId="0" xfId="5" applyFill="1" applyAlignment="1" applyProtection="1">
      <alignment vertical="center"/>
      <protection locked="0"/>
    </xf>
    <xf numFmtId="0" fontId="2" fillId="13" borderId="0" xfId="5" applyFill="1"/>
    <xf numFmtId="0" fontId="2" fillId="13" borderId="0" xfId="5" applyFill="1" applyAlignment="1">
      <alignment vertical="center"/>
    </xf>
    <xf numFmtId="0" fontId="9" fillId="12" borderId="0" xfId="5" applyFont="1" applyFill="1" applyAlignment="1">
      <alignment vertical="center"/>
    </xf>
    <xf numFmtId="0" fontId="31" fillId="12" borderId="0" xfId="6" applyFont="1" applyFill="1" applyAlignment="1">
      <alignment vertical="center"/>
    </xf>
    <xf numFmtId="0" fontId="9" fillId="12" borderId="0" xfId="6" applyFont="1" applyFill="1" applyAlignment="1">
      <alignment vertical="center"/>
    </xf>
    <xf numFmtId="0" fontId="9" fillId="13" borderId="0" xfId="6" applyFont="1" applyFill="1" applyAlignment="1">
      <alignment vertical="center"/>
    </xf>
    <xf numFmtId="0" fontId="9" fillId="13" borderId="0" xfId="5" applyFont="1" applyFill="1" applyAlignment="1">
      <alignment vertical="center"/>
    </xf>
    <xf numFmtId="0" fontId="9" fillId="15" borderId="0" xfId="5" applyFont="1" applyFill="1" applyAlignment="1">
      <alignment vertical="center"/>
    </xf>
    <xf numFmtId="0" fontId="13" fillId="12" borderId="0" xfId="6" applyFont="1" applyFill="1" applyAlignment="1">
      <alignment horizontal="centerContinuous" vertical="center"/>
    </xf>
    <xf numFmtId="0" fontId="13" fillId="13" borderId="0" xfId="6" applyFont="1" applyFill="1" applyAlignment="1">
      <alignment horizontal="centerContinuous" vertical="center"/>
    </xf>
    <xf numFmtId="0" fontId="13" fillId="12" borderId="0" xfId="5" applyFont="1" applyFill="1" applyAlignment="1">
      <alignment horizontal="center" vertical="center"/>
    </xf>
    <xf numFmtId="0" fontId="9" fillId="12" borderId="0" xfId="5" applyFont="1" applyFill="1" applyAlignment="1">
      <alignment horizontal="centerContinuous" vertical="center"/>
    </xf>
    <xf numFmtId="0" fontId="9" fillId="0" borderId="0" xfId="5" applyFont="1" applyAlignment="1">
      <alignment vertical="center"/>
    </xf>
    <xf numFmtId="49" fontId="9" fillId="14" borderId="0" xfId="5" applyNumberFormat="1" applyFont="1" applyFill="1" applyAlignment="1" applyProtection="1">
      <alignment vertical="center"/>
      <protection locked="0"/>
    </xf>
    <xf numFmtId="165" fontId="9" fillId="0" borderId="0" xfId="5" applyNumberFormat="1" applyFont="1" applyAlignment="1">
      <alignment horizontal="center" vertical="center"/>
    </xf>
    <xf numFmtId="0" fontId="9" fillId="0" borderId="0" xfId="5" applyFont="1" applyAlignment="1" applyProtection="1">
      <alignment vertical="center"/>
      <protection locked="0"/>
    </xf>
    <xf numFmtId="0" fontId="9" fillId="13" borderId="0" xfId="5" applyFont="1" applyFill="1" applyAlignment="1" applyProtection="1">
      <alignment vertical="center"/>
      <protection locked="0"/>
    </xf>
    <xf numFmtId="49" fontId="9" fillId="14" borderId="13" xfId="5" applyNumberFormat="1" applyFont="1" applyFill="1" applyBorder="1" applyAlignment="1" applyProtection="1">
      <alignment vertical="center"/>
      <protection locked="0"/>
    </xf>
    <xf numFmtId="166" fontId="9" fillId="0" borderId="0" xfId="5" applyNumberFormat="1" applyFont="1" applyAlignment="1">
      <alignment vertical="center"/>
    </xf>
    <xf numFmtId="165" fontId="9" fillId="14" borderId="0" xfId="5" applyNumberFormat="1" applyFont="1" applyFill="1" applyAlignment="1" applyProtection="1">
      <alignment horizontal="center" vertical="center"/>
      <protection locked="0"/>
    </xf>
    <xf numFmtId="165" fontId="9" fillId="14" borderId="0" xfId="5" applyNumberFormat="1" applyFont="1" applyFill="1" applyAlignment="1">
      <alignment horizontal="center" vertical="center"/>
    </xf>
    <xf numFmtId="1" fontId="9" fillId="14" borderId="0" xfId="5" applyNumberFormat="1" applyFont="1" applyFill="1" applyAlignment="1" applyProtection="1">
      <alignment horizontal="center" vertical="center"/>
      <protection locked="0"/>
    </xf>
    <xf numFmtId="1" fontId="9" fillId="0" borderId="0" xfId="5" applyNumberFormat="1" applyFont="1" applyAlignment="1">
      <alignment vertical="center"/>
    </xf>
    <xf numFmtId="0" fontId="9" fillId="14" borderId="0" xfId="0" applyFont="1" applyFill="1"/>
    <xf numFmtId="0" fontId="9" fillId="17" borderId="0" xfId="7" applyFont="1" applyFill="1"/>
    <xf numFmtId="0" fontId="9" fillId="14" borderId="0" xfId="5" applyFont="1" applyFill="1" applyAlignment="1" applyProtection="1">
      <alignment vertical="center"/>
      <protection locked="0"/>
    </xf>
    <xf numFmtId="9" fontId="9" fillId="14" borderId="0" xfId="5" applyNumberFormat="1" applyFont="1" applyFill="1" applyAlignment="1" applyProtection="1">
      <alignment horizontal="center" vertical="center"/>
      <protection locked="0"/>
    </xf>
    <xf numFmtId="167" fontId="13" fillId="8" borderId="3" xfId="0" applyNumberFormat="1" applyFont="1" applyFill="1" applyBorder="1" applyAlignment="1" applyProtection="1">
      <alignment horizontal="left" vertical="top" indent="1"/>
      <protection hidden="1"/>
    </xf>
    <xf numFmtId="167" fontId="13" fillId="8" borderId="0" xfId="0" applyNumberFormat="1" applyFont="1" applyFill="1" applyAlignment="1" applyProtection="1">
      <alignment horizontal="left" vertical="top" indent="1"/>
      <protection hidden="1"/>
    </xf>
    <xf numFmtId="0" fontId="9" fillId="8" borderId="0" xfId="0" applyFont="1" applyFill="1" applyAlignment="1" applyProtection="1">
      <alignment horizontal="left" vertical="center" indent="1"/>
      <protection hidden="1"/>
    </xf>
    <xf numFmtId="168" fontId="13" fillId="0" borderId="12" xfId="2" applyNumberFormat="1" applyFont="1" applyFill="1" applyBorder="1" applyAlignment="1" applyProtection="1">
      <alignment horizontal="center"/>
      <protection locked="0"/>
    </xf>
    <xf numFmtId="0" fontId="0" fillId="14" borderId="0" xfId="0" applyFill="1" applyAlignment="1">
      <alignment horizontal="center"/>
    </xf>
    <xf numFmtId="167" fontId="9" fillId="8" borderId="0" xfId="0" applyNumberFormat="1" applyFont="1" applyFill="1"/>
    <xf numFmtId="0" fontId="9" fillId="8" borderId="0" xfId="0" applyFont="1" applyFill="1"/>
    <xf numFmtId="0" fontId="9" fillId="8" borderId="0" xfId="0" applyFont="1" applyFill="1" applyAlignment="1">
      <alignment horizontal="center"/>
    </xf>
    <xf numFmtId="49" fontId="13" fillId="0" borderId="36" xfId="0" applyNumberFormat="1" applyFont="1" applyBorder="1" applyAlignment="1" applyProtection="1">
      <alignment horizontal="center" vertical="center" wrapText="1"/>
      <protection locked="0"/>
    </xf>
    <xf numFmtId="0" fontId="9" fillId="8" borderId="0" xfId="0" applyFont="1" applyFill="1" applyAlignment="1">
      <alignment vertical="center"/>
    </xf>
    <xf numFmtId="173" fontId="13" fillId="0" borderId="22" xfId="2" applyNumberFormat="1" applyFont="1" applyFill="1" applyBorder="1" applyAlignment="1" applyProtection="1">
      <alignment horizontal="center" vertical="center"/>
      <protection locked="0"/>
    </xf>
    <xf numFmtId="173" fontId="13" fillId="0" borderId="74" xfId="2" applyNumberFormat="1" applyFont="1" applyFill="1" applyBorder="1" applyAlignment="1" applyProtection="1">
      <alignment horizontal="center" vertical="center"/>
      <protection locked="0"/>
    </xf>
    <xf numFmtId="173" fontId="13" fillId="8" borderId="12" xfId="2" applyNumberFormat="1" applyFont="1" applyFill="1" applyBorder="1" applyAlignment="1" applyProtection="1">
      <alignment horizontal="center" vertical="center"/>
    </xf>
    <xf numFmtId="172" fontId="13" fillId="8" borderId="44" xfId="2" applyNumberFormat="1" applyFont="1" applyFill="1" applyBorder="1" applyAlignment="1" applyProtection="1">
      <alignment horizontal="center" vertical="center"/>
    </xf>
    <xf numFmtId="172" fontId="13" fillId="8" borderId="12" xfId="2" applyNumberFormat="1" applyFont="1" applyFill="1" applyBorder="1" applyAlignment="1" applyProtection="1">
      <alignment horizontal="center" vertical="center"/>
    </xf>
    <xf numFmtId="172" fontId="13" fillId="8" borderId="14" xfId="2" applyNumberFormat="1" applyFont="1" applyFill="1" applyBorder="1" applyAlignment="1" applyProtection="1">
      <alignment horizontal="center" vertical="center"/>
    </xf>
    <xf numFmtId="172" fontId="13" fillId="8" borderId="90" xfId="2" applyNumberFormat="1" applyFont="1" applyFill="1" applyBorder="1" applyAlignment="1" applyProtection="1">
      <alignment horizontal="center" vertical="center"/>
    </xf>
    <xf numFmtId="172" fontId="13" fillId="8" borderId="37" xfId="2" applyNumberFormat="1" applyFont="1" applyFill="1" applyBorder="1" applyAlignment="1" applyProtection="1">
      <alignment horizontal="center" vertical="center"/>
    </xf>
    <xf numFmtId="172" fontId="13" fillId="8" borderId="19" xfId="2" applyNumberFormat="1" applyFont="1" applyFill="1" applyBorder="1" applyAlignment="1" applyProtection="1">
      <alignment horizontal="center" vertical="center"/>
    </xf>
    <xf numFmtId="172" fontId="13" fillId="8" borderId="22" xfId="2" applyNumberFormat="1" applyFont="1" applyFill="1" applyBorder="1" applyAlignment="1" applyProtection="1">
      <alignment horizontal="center" vertical="center"/>
    </xf>
    <xf numFmtId="172" fontId="13" fillId="8" borderId="91" xfId="2" applyNumberFormat="1" applyFont="1" applyFill="1" applyBorder="1" applyAlignment="1" applyProtection="1">
      <alignment horizontal="center" vertical="center"/>
    </xf>
    <xf numFmtId="173" fontId="13" fillId="0" borderId="83" xfId="2" applyNumberFormat="1" applyFont="1" applyFill="1" applyBorder="1" applyAlignment="1" applyProtection="1">
      <alignment horizontal="center" vertical="center"/>
      <protection locked="0"/>
    </xf>
    <xf numFmtId="173" fontId="13" fillId="0" borderId="34" xfId="2" applyNumberFormat="1" applyFont="1" applyFill="1" applyBorder="1" applyAlignment="1" applyProtection="1">
      <alignment horizontal="center" vertical="center"/>
      <protection locked="0"/>
    </xf>
    <xf numFmtId="173" fontId="13" fillId="0" borderId="16" xfId="2" applyNumberFormat="1" applyFont="1" applyFill="1" applyBorder="1" applyAlignment="1" applyProtection="1">
      <alignment horizontal="center" vertical="center"/>
      <protection locked="0"/>
    </xf>
    <xf numFmtId="173" fontId="13" fillId="0" borderId="17" xfId="2" applyNumberFormat="1" applyFont="1" applyFill="1" applyBorder="1" applyAlignment="1" applyProtection="1">
      <alignment horizontal="center" vertical="center"/>
      <protection locked="0"/>
    </xf>
    <xf numFmtId="173" fontId="13" fillId="0" borderId="58" xfId="2" applyNumberFormat="1" applyFont="1" applyFill="1" applyBorder="1" applyAlignment="1" applyProtection="1">
      <alignment horizontal="center" vertical="center"/>
      <protection locked="0"/>
    </xf>
    <xf numFmtId="173" fontId="13" fillId="8" borderId="50" xfId="2" applyNumberFormat="1" applyFont="1" applyFill="1" applyBorder="1" applyAlignment="1" applyProtection="1">
      <alignment horizontal="center" vertical="center"/>
    </xf>
    <xf numFmtId="172" fontId="13" fillId="8" borderId="68" xfId="2" applyNumberFormat="1" applyFont="1" applyFill="1" applyBorder="1" applyAlignment="1" applyProtection="1">
      <alignment horizontal="center" vertical="center"/>
    </xf>
    <xf numFmtId="172" fontId="13" fillId="8" borderId="60" xfId="2" applyNumberFormat="1" applyFont="1" applyFill="1" applyBorder="1" applyAlignment="1" applyProtection="1">
      <alignment horizontal="center" vertical="center"/>
    </xf>
    <xf numFmtId="172" fontId="13" fillId="8" borderId="61" xfId="2" applyNumberFormat="1" applyFont="1" applyFill="1" applyBorder="1" applyAlignment="1" applyProtection="1">
      <alignment horizontal="center" vertical="center"/>
    </xf>
    <xf numFmtId="172" fontId="13" fillId="8" borderId="92" xfId="2" applyNumberFormat="1" applyFont="1" applyFill="1" applyBorder="1" applyAlignment="1" applyProtection="1">
      <alignment horizontal="center" vertical="center"/>
    </xf>
    <xf numFmtId="0" fontId="9" fillId="14" borderId="0" xfId="0" applyFont="1" applyFill="1" applyAlignment="1">
      <alignment vertical="center"/>
    </xf>
    <xf numFmtId="168" fontId="9" fillId="8" borderId="0" xfId="2" applyNumberFormat="1" applyFont="1" applyFill="1" applyAlignment="1" applyProtection="1">
      <alignment horizontal="center" vertical="center"/>
    </xf>
    <xf numFmtId="9" fontId="9" fillId="8" borderId="0" xfId="2" applyFont="1" applyFill="1" applyAlignment="1" applyProtection="1">
      <alignment horizontal="center" vertical="center"/>
    </xf>
    <xf numFmtId="0" fontId="9" fillId="8" borderId="0" xfId="0" applyFont="1" applyFill="1" applyAlignment="1">
      <alignment horizontal="left" indent="1"/>
    </xf>
    <xf numFmtId="0" fontId="20" fillId="8" borderId="106" xfId="0" applyFont="1" applyFill="1" applyBorder="1" applyProtection="1">
      <protection hidden="1"/>
    </xf>
    <xf numFmtId="0" fontId="20" fillId="8" borderId="107" xfId="0" applyFont="1" applyFill="1" applyBorder="1" applyProtection="1">
      <protection hidden="1"/>
    </xf>
    <xf numFmtId="0" fontId="20" fillId="8" borderId="108" xfId="0" applyFont="1" applyFill="1" applyBorder="1" applyProtection="1">
      <protection hidden="1"/>
    </xf>
    <xf numFmtId="0" fontId="29" fillId="14" borderId="106" xfId="4" applyFont="1" applyFill="1" applyBorder="1"/>
    <xf numFmtId="0" fontId="29" fillId="14" borderId="107" xfId="4" applyFont="1" applyFill="1" applyBorder="1"/>
    <xf numFmtId="0" fontId="29" fillId="14" borderId="108" xfId="4" applyFont="1" applyFill="1" applyBorder="1"/>
    <xf numFmtId="0" fontId="13" fillId="8" borderId="107" xfId="0" applyFont="1" applyFill="1" applyBorder="1" applyAlignment="1">
      <alignment horizontal="center" vertical="center"/>
    </xf>
    <xf numFmtId="0" fontId="13" fillId="8" borderId="107" xfId="0" applyFont="1" applyFill="1" applyBorder="1" applyAlignment="1">
      <alignment horizontal="left" vertical="center"/>
    </xf>
    <xf numFmtId="0" fontId="9" fillId="0" borderId="0" xfId="0" applyFont="1"/>
    <xf numFmtId="0" fontId="9" fillId="0" borderId="0" xfId="0" applyFont="1" applyAlignment="1">
      <alignment vertical="center"/>
    </xf>
    <xf numFmtId="180" fontId="9" fillId="13" borderId="23" xfId="7" applyNumberFormat="1" applyFont="1" applyFill="1" applyBorder="1" applyAlignment="1" applyProtection="1">
      <alignment horizontal="right" vertical="center"/>
      <protection locked="0"/>
    </xf>
    <xf numFmtId="165" fontId="9" fillId="0" borderId="0" xfId="0" applyNumberFormat="1" applyFont="1" applyAlignment="1">
      <alignment vertical="center"/>
    </xf>
    <xf numFmtId="1" fontId="9" fillId="12" borderId="0" xfId="7" applyNumberFormat="1" applyFont="1" applyFill="1" applyAlignment="1">
      <alignment horizontal="center" vertical="center"/>
    </xf>
    <xf numFmtId="165" fontId="9" fillId="12" borderId="0" xfId="7" applyNumberFormat="1" applyFont="1" applyFill="1" applyAlignment="1">
      <alignment horizontal="center" vertical="center"/>
    </xf>
    <xf numFmtId="165" fontId="9" fillId="12" borderId="70" xfId="7" applyNumberFormat="1" applyFont="1" applyFill="1" applyBorder="1" applyAlignment="1">
      <alignment horizontal="center" vertical="center"/>
    </xf>
    <xf numFmtId="165" fontId="9" fillId="12" borderId="28" xfId="7" applyNumberFormat="1" applyFont="1" applyFill="1" applyBorder="1" applyAlignment="1">
      <alignment horizontal="center" vertical="center"/>
    </xf>
    <xf numFmtId="167" fontId="8" fillId="8" borderId="0" xfId="0" applyNumberFormat="1" applyFont="1" applyFill="1" applyAlignment="1" applyProtection="1">
      <alignment horizontal="center" vertical="center"/>
      <protection locked="0" hidden="1"/>
    </xf>
    <xf numFmtId="175" fontId="9" fillId="13" borderId="105" xfId="0" applyNumberFormat="1" applyFont="1" applyFill="1" applyBorder="1" applyAlignment="1" applyProtection="1">
      <alignment horizontal="left" vertical="center"/>
      <protection locked="0" hidden="1"/>
    </xf>
    <xf numFmtId="177" fontId="9" fillId="13" borderId="105" xfId="0" applyNumberFormat="1" applyFont="1" applyFill="1" applyBorder="1" applyAlignment="1" applyProtection="1">
      <alignment horizontal="left" vertical="center"/>
      <protection locked="0" hidden="1"/>
    </xf>
    <xf numFmtId="9" fontId="9" fillId="13" borderId="105" xfId="0" applyNumberFormat="1" applyFont="1" applyFill="1" applyBorder="1" applyAlignment="1" applyProtection="1">
      <alignment horizontal="left" vertical="center"/>
      <protection locked="0" hidden="1"/>
    </xf>
    <xf numFmtId="182" fontId="9" fillId="8" borderId="10" xfId="0" applyNumberFormat="1" applyFont="1" applyFill="1" applyBorder="1" applyAlignment="1" applyProtection="1">
      <alignment horizontal="center"/>
      <protection hidden="1"/>
    </xf>
    <xf numFmtId="183" fontId="23" fillId="8" borderId="61" xfId="1" applyNumberFormat="1" applyFont="1" applyFill="1" applyBorder="1" applyAlignment="1" applyProtection="1">
      <alignment horizontal="center"/>
      <protection hidden="1"/>
    </xf>
    <xf numFmtId="183" fontId="23" fillId="8" borderId="10" xfId="1" applyNumberFormat="1" applyFont="1" applyFill="1" applyBorder="1" applyAlignment="1" applyProtection="1">
      <alignment horizontal="center"/>
      <protection hidden="1"/>
    </xf>
    <xf numFmtId="178" fontId="9" fillId="8" borderId="3" xfId="0" applyNumberFormat="1" applyFont="1" applyFill="1" applyBorder="1" applyAlignment="1" applyProtection="1">
      <alignment horizontal="center"/>
      <protection hidden="1"/>
    </xf>
    <xf numFmtId="0" fontId="9" fillId="8" borderId="0" xfId="0" applyFont="1" applyFill="1" applyAlignment="1" applyProtection="1">
      <alignment vertical="center"/>
      <protection hidden="1"/>
    </xf>
    <xf numFmtId="176" fontId="6" fillId="8" borderId="3" xfId="0" applyNumberFormat="1" applyFont="1" applyFill="1" applyBorder="1" applyAlignment="1" applyProtection="1">
      <alignment horizontal="center"/>
      <protection hidden="1"/>
    </xf>
    <xf numFmtId="165" fontId="9" fillId="10" borderId="0" xfId="0" applyNumberFormat="1" applyFont="1" applyFill="1" applyAlignment="1">
      <alignment vertical="center"/>
    </xf>
    <xf numFmtId="2" fontId="9" fillId="0" borderId="0" xfId="0" applyNumberFormat="1" applyFont="1"/>
    <xf numFmtId="1" fontId="13" fillId="16" borderId="50" xfId="1" applyNumberFormat="1" applyFont="1" applyFill="1" applyBorder="1" applyAlignment="1" applyProtection="1">
      <alignment horizontal="center" vertical="center"/>
    </xf>
    <xf numFmtId="1" fontId="13" fillId="16" borderId="49" xfId="1" applyNumberFormat="1" applyFont="1" applyFill="1" applyBorder="1" applyAlignment="1" applyProtection="1">
      <alignment horizontal="center" vertical="center"/>
    </xf>
    <xf numFmtId="1" fontId="9" fillId="0" borderId="0" xfId="0" applyNumberFormat="1" applyFont="1"/>
    <xf numFmtId="1" fontId="9" fillId="19" borderId="48" xfId="1" applyNumberFormat="1" applyFont="1" applyFill="1" applyBorder="1" applyAlignment="1" applyProtection="1">
      <alignment horizontal="center" vertical="center"/>
    </xf>
    <xf numFmtId="1" fontId="9" fillId="19" borderId="50" xfId="1" applyNumberFormat="1" applyFont="1" applyFill="1" applyBorder="1" applyAlignment="1" applyProtection="1">
      <alignment horizontal="center" vertical="center"/>
    </xf>
    <xf numFmtId="1" fontId="9" fillId="19" borderId="49" xfId="1" applyNumberFormat="1" applyFont="1" applyFill="1" applyBorder="1" applyAlignment="1" applyProtection="1">
      <alignment horizontal="center" vertical="center"/>
    </xf>
    <xf numFmtId="2" fontId="9" fillId="0" borderId="76" xfId="7" applyNumberFormat="1" applyFont="1" applyBorder="1" applyAlignment="1" applyProtection="1">
      <alignment horizontal="right" vertical="center"/>
      <protection locked="0"/>
    </xf>
    <xf numFmtId="2" fontId="9" fillId="0" borderId="74" xfId="7" applyNumberFormat="1" applyFont="1" applyBorder="1" applyAlignment="1" applyProtection="1">
      <alignment horizontal="right" vertical="center"/>
      <protection locked="0"/>
    </xf>
    <xf numFmtId="2" fontId="9" fillId="0" borderId="75" xfId="7" applyNumberFormat="1" applyFont="1" applyBorder="1" applyAlignment="1" applyProtection="1">
      <alignment horizontal="right" vertical="center"/>
      <protection locked="0"/>
    </xf>
    <xf numFmtId="0" fontId="9" fillId="14" borderId="0" xfId="0" applyFont="1" applyFill="1" applyProtection="1">
      <protection locked="0"/>
    </xf>
    <xf numFmtId="0" fontId="9" fillId="0" borderId="0" xfId="0" applyFont="1" applyProtection="1">
      <protection locked="0"/>
    </xf>
    <xf numFmtId="0" fontId="9" fillId="0" borderId="0" xfId="7" applyFont="1" applyAlignment="1" applyProtection="1">
      <alignment horizontal="center" vertical="center"/>
      <protection locked="0"/>
    </xf>
    <xf numFmtId="167" fontId="9" fillId="9" borderId="54" xfId="0" applyNumberFormat="1" applyFont="1" applyFill="1" applyBorder="1" applyAlignment="1" applyProtection="1">
      <alignment vertical="center"/>
      <protection locked="0"/>
    </xf>
    <xf numFmtId="167" fontId="9" fillId="15" borderId="54" xfId="0" applyNumberFormat="1" applyFont="1" applyFill="1" applyBorder="1" applyProtection="1">
      <protection locked="0"/>
    </xf>
    <xf numFmtId="0" fontId="9" fillId="22" borderId="0" xfId="7" applyFont="1" applyFill="1"/>
    <xf numFmtId="0" fontId="9" fillId="23" borderId="0" xfId="7" applyFont="1" applyFill="1"/>
    <xf numFmtId="0" fontId="0" fillId="0" borderId="0" xfId="0" applyAlignment="1">
      <alignment horizontal="justify" vertical="top"/>
    </xf>
    <xf numFmtId="0" fontId="13" fillId="23" borderId="0" xfId="7" applyFont="1" applyFill="1"/>
    <xf numFmtId="0" fontId="9" fillId="14" borderId="0" xfId="5" applyFont="1" applyFill="1" applyAlignment="1" applyProtection="1">
      <alignment horizontal="center" vertical="center"/>
      <protection locked="0"/>
    </xf>
    <xf numFmtId="186" fontId="23" fillId="8" borderId="61" xfId="1" applyNumberFormat="1" applyFont="1" applyFill="1" applyBorder="1" applyAlignment="1" applyProtection="1">
      <alignment horizontal="center"/>
      <protection hidden="1"/>
    </xf>
    <xf numFmtId="186" fontId="23" fillId="8" borderId="10" xfId="1" applyNumberFormat="1" applyFont="1" applyFill="1" applyBorder="1" applyAlignment="1" applyProtection="1">
      <alignment horizontal="center"/>
      <protection hidden="1"/>
    </xf>
    <xf numFmtId="0" fontId="13" fillId="12" borderId="103" xfId="0" applyFont="1" applyFill="1" applyBorder="1" applyAlignment="1" applyProtection="1">
      <alignment horizontal="center" vertical="top"/>
      <protection hidden="1"/>
    </xf>
    <xf numFmtId="0" fontId="13" fillId="12" borderId="101" xfId="0" applyFont="1" applyFill="1" applyBorder="1" applyAlignment="1" applyProtection="1">
      <alignment horizontal="center" vertical="top"/>
      <protection hidden="1"/>
    </xf>
    <xf numFmtId="182" fontId="13" fillId="12" borderId="101" xfId="0" applyNumberFormat="1" applyFont="1" applyFill="1" applyBorder="1" applyAlignment="1" applyProtection="1">
      <alignment horizontal="center" vertical="top"/>
      <protection hidden="1"/>
    </xf>
    <xf numFmtId="0" fontId="13" fillId="12" borderId="102" xfId="0" applyFont="1" applyFill="1" applyBorder="1" applyAlignment="1" applyProtection="1">
      <alignment vertical="top"/>
      <protection hidden="1"/>
    </xf>
    <xf numFmtId="164" fontId="8" fillId="8" borderId="0" xfId="1" applyFont="1" applyFill="1" applyAlignment="1" applyProtection="1">
      <alignment vertical="top"/>
      <protection hidden="1"/>
    </xf>
    <xf numFmtId="0" fontId="8" fillId="8" borderId="0" xfId="0" applyFont="1" applyFill="1" applyAlignment="1" applyProtection="1">
      <alignment vertical="top"/>
      <protection hidden="1"/>
    </xf>
    <xf numFmtId="167" fontId="8" fillId="8" borderId="0" xfId="0" applyNumberFormat="1" applyFont="1" applyFill="1" applyAlignment="1" applyProtection="1">
      <alignment horizontal="left" indent="1"/>
      <protection hidden="1"/>
    </xf>
    <xf numFmtId="172" fontId="10" fillId="8" borderId="0" xfId="0" applyNumberFormat="1" applyFont="1" applyFill="1" applyAlignment="1" applyProtection="1">
      <alignment horizontal="center"/>
      <protection hidden="1"/>
    </xf>
    <xf numFmtId="165" fontId="13" fillId="8" borderId="113" xfId="1" applyNumberFormat="1" applyFont="1" applyFill="1" applyBorder="1" applyAlignment="1" applyProtection="1">
      <alignment horizontal="center"/>
      <protection hidden="1"/>
    </xf>
    <xf numFmtId="165" fontId="13" fillId="8" borderId="9" xfId="1" applyNumberFormat="1" applyFont="1" applyFill="1" applyBorder="1" applyAlignment="1" applyProtection="1">
      <alignment horizontal="center"/>
      <protection hidden="1"/>
    </xf>
    <xf numFmtId="1" fontId="13" fillId="8" borderId="113" xfId="1" applyNumberFormat="1" applyFont="1" applyFill="1" applyBorder="1" applyAlignment="1" applyProtection="1">
      <alignment horizontal="center"/>
      <protection hidden="1"/>
    </xf>
    <xf numFmtId="2" fontId="13" fillId="8" borderId="113" xfId="1" applyNumberFormat="1" applyFont="1" applyFill="1" applyBorder="1" applyAlignment="1" applyProtection="1">
      <alignment horizontal="center"/>
      <protection hidden="1"/>
    </xf>
    <xf numFmtId="1" fontId="13" fillId="8" borderId="61" xfId="1" applyNumberFormat="1" applyFont="1" applyFill="1" applyBorder="1" applyAlignment="1" applyProtection="1">
      <alignment horizontal="center"/>
      <protection hidden="1"/>
    </xf>
    <xf numFmtId="167" fontId="13" fillId="8" borderId="59" xfId="1" applyNumberFormat="1" applyFont="1" applyFill="1" applyBorder="1" applyAlignment="1" applyProtection="1">
      <alignment horizontal="center"/>
      <protection hidden="1"/>
    </xf>
    <xf numFmtId="1" fontId="13" fillId="8" borderId="9" xfId="1" applyNumberFormat="1" applyFont="1" applyFill="1" applyBorder="1" applyAlignment="1" applyProtection="1">
      <alignment horizontal="center"/>
      <protection hidden="1"/>
    </xf>
    <xf numFmtId="2" fontId="13" fillId="8" borderId="9" xfId="1" applyNumberFormat="1" applyFont="1" applyFill="1" applyBorder="1" applyAlignment="1" applyProtection="1">
      <alignment horizontal="center"/>
      <protection hidden="1"/>
    </xf>
    <xf numFmtId="1" fontId="13" fillId="8" borderId="10" xfId="1" applyNumberFormat="1" applyFont="1" applyFill="1" applyBorder="1" applyAlignment="1" applyProtection="1">
      <alignment horizontal="center"/>
      <protection hidden="1"/>
    </xf>
    <xf numFmtId="165" fontId="13" fillId="8" borderId="61" xfId="1" applyNumberFormat="1" applyFont="1" applyFill="1" applyBorder="1" applyAlignment="1" applyProtection="1">
      <alignment horizontal="center"/>
      <protection hidden="1"/>
    </xf>
    <xf numFmtId="165" fontId="13" fillId="8" borderId="10" xfId="1" applyNumberFormat="1" applyFont="1" applyFill="1" applyBorder="1" applyAlignment="1" applyProtection="1">
      <alignment horizontal="center"/>
      <protection hidden="1"/>
    </xf>
    <xf numFmtId="0" fontId="9" fillId="8" borderId="3" xfId="0" applyFont="1" applyFill="1" applyBorder="1" applyAlignment="1" applyProtection="1">
      <alignment horizontal="left" vertical="center" indent="1"/>
      <protection hidden="1"/>
    </xf>
    <xf numFmtId="167" fontId="8" fillId="8" borderId="3" xfId="0" applyNumberFormat="1" applyFont="1" applyFill="1" applyBorder="1" applyProtection="1">
      <protection hidden="1"/>
    </xf>
    <xf numFmtId="0" fontId="9" fillId="8" borderId="3" xfId="0" applyFont="1" applyFill="1" applyBorder="1" applyAlignment="1" applyProtection="1">
      <alignment vertical="center"/>
      <protection hidden="1"/>
    </xf>
    <xf numFmtId="0" fontId="8" fillId="8" borderId="3" xfId="0" applyFont="1" applyFill="1" applyBorder="1" applyProtection="1">
      <protection hidden="1"/>
    </xf>
    <xf numFmtId="0" fontId="8" fillId="8" borderId="3" xfId="0" applyFont="1" applyFill="1" applyBorder="1" applyAlignment="1" applyProtection="1">
      <alignment horizontal="left" vertical="top" wrapText="1"/>
      <protection hidden="1"/>
    </xf>
    <xf numFmtId="0" fontId="8" fillId="8" borderId="8" xfId="0" applyFont="1" applyFill="1" applyBorder="1" applyAlignment="1" applyProtection="1">
      <alignment horizontal="left" vertical="top" wrapText="1"/>
      <protection hidden="1"/>
    </xf>
    <xf numFmtId="0" fontId="8" fillId="8" borderId="5" xfId="0" applyFont="1" applyFill="1" applyBorder="1" applyProtection="1">
      <protection hidden="1"/>
    </xf>
    <xf numFmtId="0" fontId="8" fillId="8" borderId="6" xfId="0" applyFont="1" applyFill="1" applyBorder="1" applyProtection="1">
      <protection hidden="1"/>
    </xf>
    <xf numFmtId="0" fontId="8" fillId="8" borderId="26" xfId="0" applyFont="1" applyFill="1" applyBorder="1" applyProtection="1">
      <protection hidden="1"/>
    </xf>
    <xf numFmtId="176" fontId="6" fillId="24" borderId="3" xfId="0" applyNumberFormat="1" applyFont="1" applyFill="1" applyBorder="1" applyAlignment="1" applyProtection="1">
      <alignment horizontal="center"/>
      <protection hidden="1"/>
    </xf>
    <xf numFmtId="178" fontId="9" fillId="24" borderId="3" xfId="0" applyNumberFormat="1" applyFont="1" applyFill="1" applyBorder="1" applyAlignment="1" applyProtection="1">
      <alignment horizontal="center"/>
      <protection hidden="1"/>
    </xf>
    <xf numFmtId="178" fontId="9" fillId="24" borderId="10" xfId="0" applyNumberFormat="1" applyFont="1" applyFill="1" applyBorder="1" applyAlignment="1" applyProtection="1">
      <alignment horizontal="center"/>
      <protection hidden="1"/>
    </xf>
    <xf numFmtId="167" fontId="9" fillId="24" borderId="10" xfId="0" applyNumberFormat="1" applyFont="1" applyFill="1" applyBorder="1" applyAlignment="1" applyProtection="1">
      <alignment horizontal="center"/>
      <protection hidden="1"/>
    </xf>
    <xf numFmtId="172" fontId="10" fillId="24" borderId="0" xfId="0" applyNumberFormat="1" applyFont="1" applyFill="1" applyAlignment="1" applyProtection="1">
      <alignment horizontal="center"/>
      <protection hidden="1"/>
    </xf>
    <xf numFmtId="167" fontId="13" fillId="24" borderId="0" xfId="1" applyNumberFormat="1" applyFont="1" applyFill="1" applyBorder="1" applyAlignment="1" applyProtection="1">
      <alignment horizontal="center"/>
      <protection hidden="1"/>
    </xf>
    <xf numFmtId="165" fontId="13" fillId="24" borderId="9" xfId="1" applyNumberFormat="1" applyFont="1" applyFill="1" applyBorder="1" applyAlignment="1" applyProtection="1">
      <alignment horizontal="center"/>
      <protection hidden="1"/>
    </xf>
    <xf numFmtId="1" fontId="13" fillId="24" borderId="9" xfId="1" applyNumberFormat="1" applyFont="1" applyFill="1" applyBorder="1" applyAlignment="1" applyProtection="1">
      <alignment horizontal="center"/>
      <protection hidden="1"/>
    </xf>
    <xf numFmtId="183" fontId="23" fillId="24" borderId="10" xfId="1" applyNumberFormat="1" applyFont="1" applyFill="1" applyBorder="1" applyAlignment="1" applyProtection="1">
      <alignment horizontal="center"/>
      <protection hidden="1"/>
    </xf>
    <xf numFmtId="2" fontId="13" fillId="24" borderId="9" xfId="1" applyNumberFormat="1" applyFont="1" applyFill="1" applyBorder="1" applyAlignment="1" applyProtection="1">
      <alignment horizontal="center"/>
      <protection hidden="1"/>
    </xf>
    <xf numFmtId="1" fontId="13" fillId="24" borderId="10" xfId="1" applyNumberFormat="1" applyFont="1" applyFill="1" applyBorder="1" applyAlignment="1" applyProtection="1">
      <alignment horizontal="center"/>
      <protection hidden="1"/>
    </xf>
    <xf numFmtId="165" fontId="13" fillId="24" borderId="10" xfId="1" applyNumberFormat="1" applyFont="1" applyFill="1" applyBorder="1" applyAlignment="1" applyProtection="1">
      <alignment horizontal="center"/>
      <protection hidden="1"/>
    </xf>
    <xf numFmtId="186" fontId="23" fillId="24" borderId="10" xfId="1" applyNumberFormat="1" applyFont="1" applyFill="1" applyBorder="1" applyAlignment="1" applyProtection="1">
      <alignment horizontal="center"/>
      <protection hidden="1"/>
    </xf>
    <xf numFmtId="0" fontId="2" fillId="8" borderId="0" xfId="0" applyFont="1" applyFill="1"/>
    <xf numFmtId="0" fontId="0" fillId="8" borderId="0" xfId="0" applyFill="1"/>
    <xf numFmtId="0" fontId="0" fillId="8" borderId="0" xfId="0" applyFill="1" applyAlignment="1">
      <alignment horizontal="center"/>
    </xf>
    <xf numFmtId="0" fontId="2" fillId="8" borderId="0" xfId="0" applyFont="1" applyFill="1" applyAlignment="1">
      <alignment horizontal="center"/>
    </xf>
    <xf numFmtId="20" fontId="0" fillId="8" borderId="0" xfId="0" quotePrefix="1" applyNumberFormat="1" applyFill="1" applyAlignment="1">
      <alignment horizontal="right"/>
    </xf>
    <xf numFmtId="0" fontId="1" fillId="8" borderId="0" xfId="0" applyFont="1" applyFill="1"/>
    <xf numFmtId="0" fontId="7" fillId="8" borderId="0" xfId="0" applyFont="1" applyFill="1"/>
    <xf numFmtId="0" fontId="1" fillId="8" borderId="105" xfId="0" applyFont="1" applyFill="1" applyBorder="1" applyAlignment="1">
      <alignment horizontal="center"/>
    </xf>
    <xf numFmtId="0" fontId="2" fillId="8" borderId="105" xfId="0" applyFont="1" applyFill="1" applyBorder="1" applyAlignment="1">
      <alignment horizontal="center" wrapText="1"/>
    </xf>
    <xf numFmtId="0" fontId="2" fillId="8" borderId="0" xfId="0" applyFont="1" applyFill="1" applyAlignment="1">
      <alignment horizontal="right"/>
    </xf>
    <xf numFmtId="0" fontId="0" fillId="8" borderId="22" xfId="0" applyFill="1" applyBorder="1" applyAlignment="1">
      <alignment horizontal="center"/>
    </xf>
    <xf numFmtId="0" fontId="0" fillId="8" borderId="104" xfId="0" applyFill="1" applyBorder="1" applyAlignment="1">
      <alignment horizontal="center"/>
    </xf>
    <xf numFmtId="9" fontId="0" fillId="13" borderId="105" xfId="0" applyNumberFormat="1" applyFill="1" applyBorder="1" applyAlignment="1" applyProtection="1">
      <alignment horizontal="center"/>
      <protection locked="0"/>
    </xf>
    <xf numFmtId="0" fontId="0" fillId="13" borderId="105" xfId="0" applyFill="1" applyBorder="1" applyAlignment="1" applyProtection="1">
      <alignment horizontal="center"/>
      <protection locked="0"/>
    </xf>
    <xf numFmtId="1" fontId="0" fillId="13" borderId="105" xfId="0" applyNumberFormat="1" applyFill="1" applyBorder="1" applyAlignment="1" applyProtection="1">
      <alignment horizontal="center"/>
      <protection locked="0"/>
    </xf>
    <xf numFmtId="165" fontId="0" fillId="13" borderId="105" xfId="0" applyNumberFormat="1" applyFill="1" applyBorder="1" applyAlignment="1" applyProtection="1">
      <alignment horizontal="center"/>
      <protection locked="0"/>
    </xf>
    <xf numFmtId="0" fontId="6" fillId="8" borderId="0" xfId="0" applyFont="1" applyFill="1" applyAlignment="1">
      <alignment vertical="center"/>
    </xf>
    <xf numFmtId="0" fontId="13" fillId="8" borderId="0" xfId="0" applyFont="1" applyFill="1" applyAlignment="1">
      <alignment vertical="center"/>
    </xf>
    <xf numFmtId="0" fontId="36" fillId="8" borderId="0" xfId="0" applyFont="1" applyFill="1" applyAlignment="1">
      <alignment horizontal="left" vertical="center" readingOrder="1"/>
    </xf>
    <xf numFmtId="0" fontId="20" fillId="8" borderId="0" xfId="0" applyFont="1" applyFill="1" applyAlignment="1">
      <alignment vertical="center"/>
    </xf>
    <xf numFmtId="0" fontId="2" fillId="8" borderId="0" xfId="10" applyFill="1"/>
    <xf numFmtId="0" fontId="37" fillId="11" borderId="0" xfId="11" applyFill="1" applyAlignment="1">
      <alignment vertical="top"/>
    </xf>
    <xf numFmtId="0" fontId="37" fillId="21" borderId="0" xfId="11" applyFill="1" applyAlignment="1">
      <alignment vertical="top"/>
    </xf>
    <xf numFmtId="0" fontId="37" fillId="25" borderId="0" xfId="11" applyFill="1" applyAlignment="1">
      <alignment vertical="top"/>
    </xf>
    <xf numFmtId="0" fontId="37" fillId="26" borderId="0" xfId="11" applyFill="1" applyAlignment="1">
      <alignment vertical="top"/>
    </xf>
    <xf numFmtId="0" fontId="1" fillId="27" borderId="0" xfId="0" applyFont="1" applyFill="1" applyAlignment="1">
      <alignment vertical="top"/>
    </xf>
    <xf numFmtId="0" fontId="1" fillId="27" borderId="0" xfId="0" applyFont="1" applyFill="1" applyAlignment="1">
      <alignment horizontal="justify" vertical="top"/>
    </xf>
    <xf numFmtId="0" fontId="46" fillId="8" borderId="0" xfId="0" applyFont="1" applyFill="1" applyAlignment="1">
      <alignment horizontal="center" vertical="center"/>
    </xf>
    <xf numFmtId="0" fontId="47" fillId="8" borderId="0" xfId="0" applyFont="1" applyFill="1" applyAlignment="1">
      <alignment horizontal="center" vertical="center"/>
    </xf>
    <xf numFmtId="0" fontId="48" fillId="8" borderId="0" xfId="0" applyFont="1" applyFill="1" applyAlignment="1">
      <alignment horizontal="center" vertical="center"/>
    </xf>
    <xf numFmtId="0" fontId="49" fillId="8" borderId="0" xfId="0" applyFont="1" applyFill="1" applyAlignment="1">
      <alignment horizontal="center" vertical="center"/>
    </xf>
    <xf numFmtId="0" fontId="13" fillId="8" borderId="10" xfId="0" applyFont="1" applyFill="1" applyBorder="1" applyAlignment="1" applyProtection="1">
      <alignment horizontal="right" vertical="center" wrapText="1"/>
      <protection hidden="1"/>
    </xf>
    <xf numFmtId="0" fontId="13" fillId="8" borderId="0" xfId="0" applyFont="1" applyFill="1" applyAlignment="1" applyProtection="1">
      <alignment horizontal="right" vertical="center" wrapText="1"/>
      <protection hidden="1"/>
    </xf>
    <xf numFmtId="0" fontId="9" fillId="8" borderId="29" xfId="0" applyFont="1" applyFill="1" applyBorder="1" applyAlignment="1" applyProtection="1">
      <alignment horizontal="left" vertical="center" wrapText="1" indent="1"/>
      <protection hidden="1"/>
    </xf>
    <xf numFmtId="0" fontId="13" fillId="13" borderId="105" xfId="0" applyFont="1" applyFill="1" applyBorder="1" applyAlignment="1" applyProtection="1">
      <alignment horizontal="center" vertical="center"/>
      <protection locked="0" hidden="1"/>
    </xf>
    <xf numFmtId="187" fontId="23" fillId="8" borderId="61" xfId="1" applyNumberFormat="1" applyFont="1" applyFill="1" applyBorder="1" applyAlignment="1" applyProtection="1">
      <alignment horizontal="center"/>
      <protection hidden="1"/>
    </xf>
    <xf numFmtId="187" fontId="23" fillId="8" borderId="10" xfId="1" applyNumberFormat="1" applyFont="1" applyFill="1" applyBorder="1" applyAlignment="1" applyProtection="1">
      <alignment horizontal="center"/>
      <protection hidden="1"/>
    </xf>
    <xf numFmtId="187" fontId="23" fillId="24" borderId="10" xfId="1" applyNumberFormat="1" applyFont="1" applyFill="1" applyBorder="1" applyAlignment="1" applyProtection="1">
      <alignment horizontal="center"/>
      <protection hidden="1"/>
    </xf>
    <xf numFmtId="164" fontId="9" fillId="8" borderId="3" xfId="1" applyFont="1" applyFill="1" applyBorder="1" applyAlignment="1" applyProtection="1">
      <alignment horizontal="center"/>
      <protection hidden="1"/>
    </xf>
    <xf numFmtId="49" fontId="9" fillId="14" borderId="13" xfId="5" applyNumberFormat="1" applyFont="1" applyFill="1" applyBorder="1" applyAlignment="1" applyProtection="1">
      <alignment vertical="center"/>
      <protection locked="0" hidden="1"/>
    </xf>
    <xf numFmtId="167" fontId="9" fillId="14" borderId="12" xfId="5" applyNumberFormat="1" applyFont="1" applyFill="1" applyBorder="1" applyAlignment="1" applyProtection="1">
      <alignment horizontal="center" vertical="center"/>
      <protection locked="0" hidden="1"/>
    </xf>
    <xf numFmtId="167" fontId="9" fillId="14" borderId="13" xfId="5" applyNumberFormat="1" applyFont="1" applyFill="1" applyBorder="1" applyAlignment="1" applyProtection="1">
      <alignment horizontal="center" vertical="center"/>
      <protection locked="0" hidden="1"/>
    </xf>
    <xf numFmtId="167" fontId="9" fillId="14" borderId="14" xfId="5" applyNumberFormat="1" applyFont="1" applyFill="1" applyBorder="1" applyAlignment="1" applyProtection="1">
      <alignment horizontal="center" vertical="center"/>
      <protection locked="0" hidden="1"/>
    </xf>
    <xf numFmtId="167" fontId="9" fillId="14" borderId="13" xfId="5" applyNumberFormat="1" applyFont="1" applyFill="1" applyBorder="1" applyAlignment="1" applyProtection="1">
      <alignment vertical="center"/>
      <protection locked="0" hidden="1"/>
    </xf>
    <xf numFmtId="167" fontId="9" fillId="14" borderId="45" xfId="5" applyNumberFormat="1" applyFont="1" applyFill="1" applyBorder="1" applyAlignment="1" applyProtection="1">
      <alignment vertical="center"/>
      <protection locked="0" hidden="1"/>
    </xf>
    <xf numFmtId="49" fontId="33" fillId="15" borderId="0" xfId="5" applyNumberFormat="1" applyFont="1" applyFill="1" applyAlignment="1" applyProtection="1">
      <alignment vertical="center"/>
      <protection locked="0" hidden="1"/>
    </xf>
    <xf numFmtId="167" fontId="9" fillId="15" borderId="9" xfId="5" applyNumberFormat="1" applyFont="1" applyFill="1" applyBorder="1" applyAlignment="1" applyProtection="1">
      <alignment horizontal="center" vertical="center"/>
      <protection locked="0" hidden="1"/>
    </xf>
    <xf numFmtId="167" fontId="9" fillId="15" borderId="0" xfId="5" applyNumberFormat="1" applyFont="1" applyFill="1" applyAlignment="1" applyProtection="1">
      <alignment horizontal="center" vertical="center"/>
      <protection locked="0" hidden="1"/>
    </xf>
    <xf numFmtId="167" fontId="9" fillId="15" borderId="10" xfId="5" applyNumberFormat="1" applyFont="1" applyFill="1" applyBorder="1" applyAlignment="1" applyProtection="1">
      <alignment horizontal="center" vertical="center"/>
      <protection locked="0" hidden="1"/>
    </xf>
    <xf numFmtId="167" fontId="9" fillId="15" borderId="0" xfId="5" applyNumberFormat="1" applyFont="1" applyFill="1" applyAlignment="1" applyProtection="1">
      <alignment vertical="center"/>
      <protection locked="0" hidden="1"/>
    </xf>
    <xf numFmtId="167" fontId="9" fillId="15" borderId="29" xfId="5" applyNumberFormat="1" applyFont="1" applyFill="1" applyBorder="1" applyAlignment="1" applyProtection="1">
      <alignment vertical="center"/>
      <protection locked="0" hidden="1"/>
    </xf>
    <xf numFmtId="165" fontId="9" fillId="0" borderId="29" xfId="5" applyNumberFormat="1" applyFont="1" applyBorder="1" applyAlignment="1" applyProtection="1">
      <alignment horizontal="center" vertical="center"/>
      <protection locked="0"/>
    </xf>
    <xf numFmtId="167" fontId="9" fillId="15" borderId="8" xfId="5" applyNumberFormat="1" applyFont="1" applyFill="1" applyBorder="1" applyAlignment="1" applyProtection="1">
      <alignment vertical="center"/>
      <protection locked="0" hidden="1"/>
    </xf>
    <xf numFmtId="2" fontId="9" fillId="14" borderId="8" xfId="5" applyNumberFormat="1" applyFont="1" applyFill="1" applyBorder="1" applyAlignment="1" applyProtection="1">
      <alignment horizontal="center" vertical="center"/>
      <protection locked="0"/>
    </xf>
    <xf numFmtId="2" fontId="9" fillId="0" borderId="8" xfId="5" applyNumberFormat="1" applyFont="1" applyBorder="1" applyAlignment="1" applyProtection="1">
      <alignment vertical="center"/>
      <protection locked="0"/>
    </xf>
    <xf numFmtId="2" fontId="9" fillId="0" borderId="8" xfId="5" applyNumberFormat="1" applyFont="1" applyBorder="1" applyAlignment="1" applyProtection="1">
      <alignment horizontal="center" vertical="center"/>
      <protection locked="0"/>
    </xf>
    <xf numFmtId="170" fontId="9" fillId="6" borderId="33" xfId="7" applyNumberFormat="1" applyFont="1" applyFill="1" applyBorder="1" applyAlignment="1" applyProtection="1">
      <alignment horizontal="left" vertical="center"/>
      <protection locked="0"/>
    </xf>
    <xf numFmtId="170" fontId="9" fillId="6" borderId="22" xfId="7" applyNumberFormat="1" applyFont="1" applyFill="1" applyBorder="1" applyAlignment="1" applyProtection="1">
      <alignment horizontal="left" vertical="center"/>
      <protection locked="0"/>
    </xf>
    <xf numFmtId="0" fontId="9" fillId="14" borderId="0" xfId="0" applyFont="1" applyFill="1" applyAlignment="1">
      <alignment horizontal="left" vertical="center"/>
    </xf>
    <xf numFmtId="0" fontId="13" fillId="12" borderId="115" xfId="0" applyFont="1" applyFill="1" applyBorder="1" applyAlignment="1" applyProtection="1">
      <alignment horizontal="center" vertical="top" wrapText="1"/>
      <protection hidden="1"/>
    </xf>
    <xf numFmtId="0" fontId="9" fillId="8" borderId="0" xfId="0" applyFont="1" applyFill="1" applyAlignment="1" applyProtection="1">
      <alignment vertical="center" wrapText="1"/>
      <protection hidden="1"/>
    </xf>
    <xf numFmtId="2" fontId="13" fillId="8" borderId="12" xfId="1" applyNumberFormat="1" applyFont="1" applyFill="1" applyBorder="1" applyAlignment="1" applyProtection="1">
      <alignment horizontal="center"/>
      <protection hidden="1"/>
    </xf>
    <xf numFmtId="0" fontId="0" fillId="13" borderId="119" xfId="0" applyFill="1" applyBorder="1" applyAlignment="1" applyProtection="1">
      <alignment horizontal="center"/>
      <protection locked="0"/>
    </xf>
    <xf numFmtId="0" fontId="2" fillId="13" borderId="119" xfId="0" applyFont="1" applyFill="1" applyBorder="1" applyAlignment="1" applyProtection="1">
      <alignment horizontal="center"/>
      <protection locked="0"/>
    </xf>
    <xf numFmtId="167" fontId="9" fillId="14" borderId="124" xfId="5" applyNumberFormat="1" applyFont="1" applyFill="1" applyBorder="1" applyAlignment="1" applyProtection="1">
      <alignment vertical="center"/>
      <protection locked="0" hidden="1"/>
    </xf>
    <xf numFmtId="173" fontId="13" fillId="0" borderId="122" xfId="2" applyNumberFormat="1" applyFont="1" applyFill="1" applyBorder="1" applyAlignment="1" applyProtection="1">
      <alignment horizontal="center" vertical="center"/>
      <protection locked="0"/>
    </xf>
    <xf numFmtId="173" fontId="13" fillId="0" borderId="119" xfId="2" applyNumberFormat="1" applyFont="1" applyFill="1" applyBorder="1" applyAlignment="1" applyProtection="1">
      <alignment horizontal="center" vertical="center"/>
      <protection locked="0"/>
    </xf>
    <xf numFmtId="173" fontId="13" fillId="0" borderId="12" xfId="2" applyNumberFormat="1" applyFont="1" applyFill="1" applyBorder="1" applyAlignment="1" applyProtection="1">
      <alignment horizontal="center" vertical="center"/>
      <protection locked="0"/>
    </xf>
    <xf numFmtId="1" fontId="13" fillId="13" borderId="21" xfId="0" applyNumberFormat="1" applyFont="1" applyFill="1" applyBorder="1" applyAlignment="1" applyProtection="1">
      <alignment horizontal="center" vertical="center" wrapText="1"/>
      <protection locked="0"/>
    </xf>
    <xf numFmtId="168" fontId="13" fillId="0" borderId="119" xfId="2" applyNumberFormat="1" applyFont="1" applyFill="1" applyBorder="1" applyAlignment="1" applyProtection="1">
      <alignment horizontal="center"/>
      <protection locked="0"/>
    </xf>
    <xf numFmtId="173" fontId="13" fillId="0" borderId="44" xfId="2" applyNumberFormat="1" applyFont="1" applyFill="1" applyBorder="1" applyAlignment="1" applyProtection="1">
      <alignment horizontal="center" vertical="center"/>
      <protection locked="0"/>
    </xf>
    <xf numFmtId="173" fontId="13" fillId="0" borderId="14" xfId="2" applyNumberFormat="1" applyFont="1" applyFill="1" applyBorder="1" applyAlignment="1" applyProtection="1">
      <alignment horizontal="center" vertical="center"/>
      <protection locked="0"/>
    </xf>
    <xf numFmtId="49" fontId="13" fillId="0" borderId="21" xfId="0" applyNumberFormat="1" applyFont="1" applyBorder="1" applyAlignment="1" applyProtection="1">
      <alignment horizontal="center" vertical="center" wrapText="1"/>
      <protection locked="0"/>
    </xf>
    <xf numFmtId="49" fontId="13" fillId="0" borderId="25" xfId="0" applyNumberFormat="1" applyFont="1" applyBorder="1" applyAlignment="1" applyProtection="1">
      <alignment horizontal="center" vertical="center" wrapText="1"/>
      <protection locked="0"/>
    </xf>
    <xf numFmtId="1" fontId="2" fillId="28" borderId="0" xfId="5" applyNumberFormat="1" applyFill="1"/>
    <xf numFmtId="1" fontId="9" fillId="29" borderId="29" xfId="5" applyNumberFormat="1" applyFont="1" applyFill="1" applyBorder="1" applyAlignment="1" applyProtection="1">
      <alignment horizontal="center" vertical="center"/>
      <protection locked="0" hidden="1"/>
    </xf>
    <xf numFmtId="2" fontId="9" fillId="29" borderId="8" xfId="5" applyNumberFormat="1" applyFont="1" applyFill="1" applyBorder="1" applyAlignment="1" applyProtection="1">
      <alignment horizontal="center" vertical="center"/>
      <protection locked="0" hidden="1"/>
    </xf>
    <xf numFmtId="165" fontId="9" fillId="29" borderId="0" xfId="5" applyNumberFormat="1" applyFont="1" applyFill="1" applyAlignment="1">
      <alignment horizontal="center" vertical="center"/>
    </xf>
    <xf numFmtId="0" fontId="9" fillId="29" borderId="0" xfId="5" applyFont="1" applyFill="1" applyAlignment="1">
      <alignment vertical="center"/>
    </xf>
    <xf numFmtId="49" fontId="9" fillId="23" borderId="0" xfId="5" applyNumberFormat="1" applyFont="1" applyFill="1" applyAlignment="1" applyProtection="1">
      <alignment vertical="center"/>
      <protection locked="0" hidden="1"/>
    </xf>
    <xf numFmtId="0" fontId="9" fillId="23" borderId="9" xfId="5" applyFont="1" applyFill="1" applyBorder="1" applyAlignment="1" applyProtection="1">
      <alignment horizontal="center" vertical="center"/>
      <protection locked="0" hidden="1"/>
    </xf>
    <xf numFmtId="165" fontId="9" fillId="23" borderId="0" xfId="5" applyNumberFormat="1" applyFont="1" applyFill="1" applyAlignment="1" applyProtection="1">
      <alignment horizontal="center" vertical="center"/>
      <protection locked="0" hidden="1"/>
    </xf>
    <xf numFmtId="1" fontId="9" fillId="23" borderId="10" xfId="5" applyNumberFormat="1" applyFont="1" applyFill="1" applyBorder="1" applyAlignment="1" applyProtection="1">
      <alignment horizontal="center" vertical="center"/>
      <protection locked="0" hidden="1"/>
    </xf>
    <xf numFmtId="9" fontId="9" fillId="23" borderId="0" xfId="2" applyFont="1" applyFill="1" applyBorder="1" applyAlignment="1" applyProtection="1">
      <alignment horizontal="center" vertical="center"/>
      <protection locked="0" hidden="1"/>
    </xf>
    <xf numFmtId="1" fontId="9" fillId="23" borderId="0" xfId="5" applyNumberFormat="1" applyFont="1" applyFill="1" applyAlignment="1" applyProtection="1">
      <alignment horizontal="center" vertical="center"/>
      <protection locked="0" hidden="1"/>
    </xf>
    <xf numFmtId="1" fontId="9" fillId="23" borderId="0" xfId="1" applyNumberFormat="1" applyFont="1" applyFill="1" applyBorder="1" applyAlignment="1" applyProtection="1">
      <alignment horizontal="center" vertical="center"/>
      <protection locked="0" hidden="1"/>
    </xf>
    <xf numFmtId="165" fontId="9" fillId="23" borderId="29" xfId="5" applyNumberFormat="1" applyFont="1" applyFill="1" applyBorder="1" applyAlignment="1" applyProtection="1">
      <alignment horizontal="center" vertical="center"/>
      <protection locked="0" hidden="1"/>
    </xf>
    <xf numFmtId="1" fontId="9" fillId="10" borderId="0" xfId="5" applyNumberFormat="1" applyFont="1" applyFill="1" applyAlignment="1" applyProtection="1">
      <alignment horizontal="center" vertical="center"/>
      <protection locked="0"/>
    </xf>
    <xf numFmtId="49" fontId="2" fillId="10" borderId="0" xfId="5" applyNumberFormat="1" applyFill="1"/>
    <xf numFmtId="1" fontId="9" fillId="14" borderId="13" xfId="5" applyNumberFormat="1" applyFont="1" applyFill="1" applyBorder="1" applyAlignment="1" applyProtection="1">
      <alignment horizontal="center" vertical="center"/>
      <protection locked="0" hidden="1"/>
    </xf>
    <xf numFmtId="1" fontId="9" fillId="14" borderId="12" xfId="5" applyNumberFormat="1" applyFont="1" applyFill="1" applyBorder="1" applyAlignment="1" applyProtection="1">
      <alignment horizontal="center" vertical="center"/>
      <protection locked="0" hidden="1"/>
    </xf>
    <xf numFmtId="1" fontId="9" fillId="15" borderId="9" xfId="5" applyNumberFormat="1" applyFont="1" applyFill="1" applyBorder="1" applyAlignment="1" applyProtection="1">
      <alignment horizontal="center" vertical="center"/>
      <protection locked="0" hidden="1"/>
    </xf>
    <xf numFmtId="1" fontId="9" fillId="23" borderId="9" xfId="5" applyNumberFormat="1" applyFont="1" applyFill="1" applyBorder="1" applyAlignment="1" applyProtection="1">
      <alignment horizontal="center" vertical="center"/>
      <protection locked="0" hidden="1"/>
    </xf>
    <xf numFmtId="0" fontId="9" fillId="0" borderId="27" xfId="7" applyFont="1" applyBorder="1" applyAlignment="1" applyProtection="1">
      <alignment horizontal="center" vertical="center"/>
      <protection locked="0"/>
    </xf>
    <xf numFmtId="0" fontId="9" fillId="22" borderId="0" xfId="7" applyFont="1" applyFill="1" applyAlignment="1">
      <alignment horizontal="center" vertical="center"/>
    </xf>
    <xf numFmtId="170" fontId="9" fillId="0" borderId="72" xfId="7" applyNumberFormat="1" applyFont="1" applyBorder="1" applyAlignment="1" applyProtection="1">
      <alignment horizontal="left" vertical="center"/>
      <protection locked="0"/>
    </xf>
    <xf numFmtId="170" fontId="9" fillId="0" borderId="31" xfId="7" applyNumberFormat="1" applyFont="1" applyBorder="1" applyAlignment="1" applyProtection="1">
      <alignment horizontal="left" vertical="center"/>
      <protection locked="0"/>
    </xf>
    <xf numFmtId="0" fontId="9" fillId="0" borderId="56" xfId="7" applyFont="1" applyBorder="1" applyAlignment="1" applyProtection="1">
      <alignment horizontal="center" vertical="center"/>
      <protection locked="0"/>
    </xf>
    <xf numFmtId="0" fontId="9" fillId="0" borderId="0" xfId="7" applyFont="1" applyAlignment="1" applyProtection="1">
      <alignment horizontal="center"/>
      <protection locked="0"/>
    </xf>
    <xf numFmtId="1" fontId="13" fillId="13" borderId="36" xfId="0" applyNumberFormat="1" applyFont="1" applyFill="1" applyBorder="1" applyAlignment="1" applyProtection="1">
      <alignment horizontal="center" vertical="center" wrapText="1"/>
      <protection locked="0"/>
    </xf>
    <xf numFmtId="1" fontId="13" fillId="13" borderId="25" xfId="0" applyNumberFormat="1" applyFont="1" applyFill="1" applyBorder="1" applyAlignment="1" applyProtection="1">
      <alignment horizontal="center" vertical="center" wrapText="1"/>
      <protection locked="0"/>
    </xf>
    <xf numFmtId="172" fontId="13" fillId="8" borderId="72" xfId="2" applyNumberFormat="1" applyFont="1" applyFill="1" applyBorder="1" applyAlignment="1" applyProtection="1">
      <alignment horizontal="left" vertical="center"/>
    </xf>
    <xf numFmtId="173" fontId="13" fillId="8" borderId="20" xfId="2" applyNumberFormat="1" applyFont="1" applyFill="1" applyBorder="1" applyAlignment="1" applyProtection="1">
      <alignment horizontal="center" vertical="center"/>
    </xf>
    <xf numFmtId="173" fontId="13" fillId="8" borderId="23" xfId="2" applyNumberFormat="1" applyFont="1" applyFill="1" applyBorder="1" applyAlignment="1" applyProtection="1">
      <alignment horizontal="center" vertical="center"/>
    </xf>
    <xf numFmtId="172" fontId="13" fillId="8" borderId="73" xfId="2" applyNumberFormat="1" applyFont="1" applyFill="1" applyBorder="1" applyAlignment="1" applyProtection="1">
      <alignment horizontal="left" vertical="center"/>
    </xf>
    <xf numFmtId="173" fontId="13" fillId="8" borderId="63" xfId="2" applyNumberFormat="1" applyFont="1" applyFill="1" applyBorder="1" applyAlignment="1" applyProtection="1">
      <alignment horizontal="center" vertical="center"/>
    </xf>
    <xf numFmtId="173" fontId="13" fillId="8" borderId="49" xfId="2" applyNumberFormat="1" applyFont="1" applyFill="1" applyBorder="1" applyAlignment="1" applyProtection="1">
      <alignment horizontal="center" vertical="center"/>
    </xf>
    <xf numFmtId="172" fontId="13" fillId="8" borderId="71" xfId="2" applyNumberFormat="1" applyFont="1" applyFill="1" applyBorder="1" applyAlignment="1" applyProtection="1">
      <alignment horizontal="left" vertical="center"/>
    </xf>
    <xf numFmtId="165" fontId="9" fillId="14" borderId="0" xfId="5" applyNumberFormat="1" applyFont="1" applyFill="1" applyBorder="1" applyAlignment="1" applyProtection="1">
      <alignment horizontal="center" vertical="center"/>
      <protection locked="0"/>
    </xf>
    <xf numFmtId="1" fontId="9" fillId="14" borderId="10" xfId="5" applyNumberFormat="1" applyFont="1" applyFill="1" applyBorder="1" applyAlignment="1" applyProtection="1">
      <alignment horizontal="center" vertical="center"/>
      <protection locked="0"/>
    </xf>
    <xf numFmtId="9" fontId="9" fillId="14" borderId="0" xfId="2" applyFont="1" applyFill="1" applyBorder="1" applyAlignment="1" applyProtection="1">
      <alignment horizontal="center" vertical="center"/>
      <protection locked="0"/>
    </xf>
    <xf numFmtId="1" fontId="9" fillId="14" borderId="0" xfId="5" applyNumberFormat="1" applyFont="1" applyFill="1" applyBorder="1" applyAlignment="1" applyProtection="1">
      <alignment horizontal="center" vertical="center"/>
      <protection locked="0"/>
    </xf>
    <xf numFmtId="0" fontId="9" fillId="14" borderId="0" xfId="5" applyFont="1" applyFill="1" applyBorder="1" applyAlignment="1" applyProtection="1">
      <alignment vertical="center"/>
      <protection locked="0"/>
    </xf>
    <xf numFmtId="1" fontId="9" fillId="14" borderId="9" xfId="5" applyNumberFormat="1" applyFont="1" applyFill="1" applyBorder="1" applyAlignment="1" applyProtection="1">
      <alignment horizontal="center" vertical="center"/>
      <protection locked="0"/>
    </xf>
    <xf numFmtId="165" fontId="9" fillId="14" borderId="0" xfId="1" applyNumberFormat="1" applyFont="1" applyFill="1" applyBorder="1" applyAlignment="1" applyProtection="1">
      <alignment horizontal="center" vertical="center"/>
      <protection locked="0"/>
    </xf>
    <xf numFmtId="9" fontId="9" fillId="14" borderId="0" xfId="5" applyNumberFormat="1" applyFont="1" applyFill="1" applyBorder="1" applyAlignment="1" applyProtection="1">
      <alignment horizontal="center" vertical="center"/>
      <protection locked="0"/>
    </xf>
    <xf numFmtId="1" fontId="9" fillId="14" borderId="29" xfId="5" applyNumberFormat="1" applyFont="1" applyFill="1" applyBorder="1" applyAlignment="1" applyProtection="1">
      <alignment horizontal="center" vertical="center"/>
      <protection locked="0"/>
    </xf>
    <xf numFmtId="0" fontId="9" fillId="0" borderId="29" xfId="5" applyFont="1" applyBorder="1" applyAlignment="1" applyProtection="1">
      <alignment vertical="center"/>
      <protection locked="0"/>
    </xf>
    <xf numFmtId="9" fontId="9" fillId="23" borderId="0" xfId="5" applyNumberFormat="1" applyFont="1" applyFill="1" applyAlignment="1" applyProtection="1">
      <alignment horizontal="center" vertical="center"/>
      <protection locked="0" hidden="1"/>
    </xf>
    <xf numFmtId="9" fontId="9" fillId="14" borderId="13" xfId="5" applyNumberFormat="1" applyFont="1" applyFill="1" applyBorder="1" applyAlignment="1" applyProtection="1">
      <alignment horizontal="center" vertical="center"/>
      <protection locked="0" hidden="1"/>
    </xf>
    <xf numFmtId="9" fontId="9" fillId="28" borderId="0" xfId="5" applyNumberFormat="1" applyFont="1" applyFill="1" applyAlignment="1" applyProtection="1">
      <alignment horizontal="center" vertical="center"/>
      <protection locked="0"/>
    </xf>
    <xf numFmtId="0" fontId="13" fillId="0" borderId="51" xfId="7" applyFont="1" applyBorder="1" applyAlignment="1" applyProtection="1">
      <alignment horizontal="center"/>
      <protection locked="0"/>
    </xf>
    <xf numFmtId="165" fontId="9" fillId="8" borderId="10" xfId="0" applyNumberFormat="1" applyFont="1" applyFill="1" applyBorder="1" applyAlignment="1" applyProtection="1">
      <alignment horizontal="center"/>
      <protection hidden="1"/>
    </xf>
    <xf numFmtId="0" fontId="13" fillId="8" borderId="61" xfId="1" applyNumberFormat="1" applyFont="1" applyFill="1" applyBorder="1" applyAlignment="1" applyProtection="1">
      <alignment horizontal="center"/>
      <protection hidden="1"/>
    </xf>
    <xf numFmtId="1" fontId="9" fillId="21" borderId="0" xfId="5" applyNumberFormat="1" applyFont="1" applyFill="1" applyAlignment="1" applyProtection="1">
      <alignment horizontal="center" vertical="center"/>
      <protection locked="0"/>
    </xf>
    <xf numFmtId="1" fontId="9" fillId="21" borderId="9" xfId="5" applyNumberFormat="1" applyFont="1" applyFill="1" applyBorder="1" applyAlignment="1" applyProtection="1">
      <alignment horizontal="center" vertical="center"/>
      <protection locked="0"/>
    </xf>
    <xf numFmtId="0" fontId="13" fillId="8" borderId="113" xfId="1" applyNumberFormat="1" applyFont="1" applyFill="1" applyBorder="1" applyAlignment="1" applyProtection="1">
      <alignment horizontal="center"/>
      <protection hidden="1"/>
    </xf>
    <xf numFmtId="165" fontId="9" fillId="21" borderId="0" xfId="5" applyNumberFormat="1" applyFont="1" applyFill="1" applyAlignment="1" applyProtection="1">
      <alignment horizontal="center" vertical="center"/>
      <protection locked="0"/>
    </xf>
    <xf numFmtId="49" fontId="13" fillId="0" borderId="17" xfId="0" applyNumberFormat="1" applyFont="1" applyFill="1" applyBorder="1" applyAlignment="1" applyProtection="1">
      <alignment horizontal="center" vertical="center" wrapText="1"/>
      <protection locked="0"/>
    </xf>
    <xf numFmtId="0" fontId="9" fillId="8" borderId="3" xfId="0" applyFont="1" applyFill="1" applyBorder="1" applyAlignment="1" applyProtection="1">
      <alignment horizontal="left" vertical="center" indent="2"/>
      <protection hidden="1"/>
    </xf>
    <xf numFmtId="0" fontId="9" fillId="8" borderId="0" xfId="0" applyFont="1" applyFill="1" applyAlignment="1" applyProtection="1">
      <alignment horizontal="left" vertical="center" indent="2"/>
      <protection hidden="1"/>
    </xf>
    <xf numFmtId="0" fontId="9" fillId="8" borderId="0" xfId="0" applyFont="1" applyFill="1" applyAlignment="1" applyProtection="1">
      <alignment horizontal="left" vertical="center" wrapText="1" indent="1"/>
      <protection hidden="1"/>
    </xf>
    <xf numFmtId="0" fontId="37" fillId="23" borderId="0" xfId="11" applyFill="1" applyAlignment="1">
      <alignment vertical="top"/>
    </xf>
    <xf numFmtId="0" fontId="2" fillId="23" borderId="0" xfId="0" applyFont="1" applyFill="1" applyAlignment="1">
      <alignment horizontal="justify" vertical="top" wrapText="1"/>
    </xf>
    <xf numFmtId="0" fontId="0" fillId="23" borderId="0" xfId="0" applyFill="1"/>
    <xf numFmtId="0" fontId="2" fillId="23" borderId="0" xfId="0" applyFont="1" applyFill="1" applyAlignment="1">
      <alignment horizontal="justify" vertical="top"/>
    </xf>
    <xf numFmtId="0" fontId="0" fillId="23" borderId="0" xfId="0" applyFill="1" applyAlignment="1">
      <alignment horizontal="justify" vertical="top"/>
    </xf>
    <xf numFmtId="0" fontId="7" fillId="23" borderId="0" xfId="0" applyFont="1" applyFill="1"/>
    <xf numFmtId="0" fontId="1" fillId="23" borderId="0" xfId="0" applyFont="1" applyFill="1"/>
    <xf numFmtId="10" fontId="9" fillId="23" borderId="0" xfId="5" applyNumberFormat="1" applyFont="1" applyFill="1" applyAlignment="1" applyProtection="1">
      <alignment horizontal="center" vertical="center"/>
      <protection locked="0" hidden="1"/>
    </xf>
    <xf numFmtId="0" fontId="9" fillId="23" borderId="0" xfId="7" applyFont="1" applyFill="1" applyProtection="1">
      <protection locked="0"/>
    </xf>
    <xf numFmtId="0" fontId="9" fillId="17" borderId="0" xfId="7" applyFont="1" applyFill="1" applyProtection="1">
      <protection locked="0"/>
    </xf>
    <xf numFmtId="0" fontId="9" fillId="23" borderId="0" xfId="7" applyFont="1" applyFill="1" applyAlignment="1" applyProtection="1">
      <alignment vertical="top"/>
      <protection locked="0"/>
    </xf>
    <xf numFmtId="0" fontId="9" fillId="17" borderId="0" xfId="7" applyFont="1" applyFill="1" applyAlignment="1" applyProtection="1">
      <alignment vertical="top"/>
      <protection locked="0"/>
    </xf>
    <xf numFmtId="0" fontId="9" fillId="23" borderId="0" xfId="7" applyFont="1" applyFill="1" applyAlignment="1" applyProtection="1">
      <alignment horizontal="center"/>
      <protection locked="0"/>
    </xf>
    <xf numFmtId="0" fontId="9" fillId="17" borderId="0" xfId="7" applyFont="1" applyFill="1" applyAlignment="1" applyProtection="1">
      <alignment horizontal="center"/>
      <protection locked="0"/>
    </xf>
    <xf numFmtId="170" fontId="13" fillId="13" borderId="54" xfId="7" applyNumberFormat="1" applyFont="1" applyFill="1" applyBorder="1" applyAlignment="1" applyProtection="1">
      <protection locked="0"/>
    </xf>
    <xf numFmtId="170" fontId="13" fillId="13" borderId="54" xfId="7" applyNumberFormat="1" applyFont="1" applyFill="1" applyBorder="1" applyAlignment="1" applyProtection="1">
      <alignment horizontal="left"/>
      <protection locked="0"/>
    </xf>
    <xf numFmtId="170" fontId="13" fillId="13" borderId="56" xfId="7" applyNumberFormat="1" applyFont="1" applyFill="1" applyBorder="1" applyAlignment="1" applyProtection="1">
      <protection locked="0"/>
    </xf>
    <xf numFmtId="0" fontId="9" fillId="0" borderId="0" xfId="7" applyFont="1" applyAlignment="1" applyProtection="1">
      <alignment horizontal="left"/>
      <protection locked="0"/>
    </xf>
    <xf numFmtId="0" fontId="9" fillId="23" borderId="6" xfId="4" applyFont="1" applyFill="1" applyBorder="1" applyProtection="1">
      <protection locked="0"/>
    </xf>
    <xf numFmtId="0" fontId="9" fillId="23" borderId="6" xfId="4" applyFont="1" applyFill="1" applyBorder="1" applyAlignment="1" applyProtection="1">
      <alignment horizontal="center" vertical="center"/>
      <protection locked="0"/>
    </xf>
    <xf numFmtId="0" fontId="13" fillId="23" borderId="26" xfId="4" applyFont="1" applyFill="1" applyBorder="1" applyProtection="1">
      <protection locked="0"/>
    </xf>
    <xf numFmtId="0" fontId="9" fillId="23" borderId="0" xfId="9" applyFont="1" applyFill="1" applyProtection="1">
      <protection locked="0"/>
    </xf>
    <xf numFmtId="0" fontId="9" fillId="22" borderId="0" xfId="7" applyFont="1" applyFill="1" applyProtection="1">
      <protection locked="0"/>
    </xf>
    <xf numFmtId="0" fontId="13" fillId="23" borderId="0" xfId="7" applyFont="1" applyFill="1" applyProtection="1">
      <protection locked="0"/>
    </xf>
    <xf numFmtId="166" fontId="9" fillId="0" borderId="0" xfId="7" applyNumberFormat="1" applyFont="1" applyProtection="1">
      <protection locked="0"/>
    </xf>
    <xf numFmtId="0" fontId="9" fillId="22" borderId="0" xfId="7" applyFont="1" applyFill="1" applyAlignment="1" applyProtection="1">
      <alignment horizontal="center" vertical="center"/>
      <protection locked="0"/>
    </xf>
    <xf numFmtId="2" fontId="9" fillId="24" borderId="47" xfId="7" applyNumberFormat="1" applyFont="1" applyFill="1" applyBorder="1" applyAlignment="1" applyProtection="1">
      <alignment horizontal="center" vertical="center"/>
    </xf>
    <xf numFmtId="2" fontId="9" fillId="24" borderId="28" xfId="7" applyNumberFormat="1" applyFont="1" applyFill="1" applyBorder="1" applyAlignment="1" applyProtection="1">
      <alignment horizontal="center" vertical="center"/>
    </xf>
    <xf numFmtId="0" fontId="9" fillId="24" borderId="49" xfId="7" applyFont="1" applyFill="1" applyBorder="1" applyAlignment="1" applyProtection="1">
      <alignment horizontal="center" vertical="center"/>
    </xf>
    <xf numFmtId="165" fontId="9" fillId="24" borderId="32" xfId="7" applyNumberFormat="1" applyFont="1" applyFill="1" applyBorder="1" applyAlignment="1" applyProtection="1">
      <alignment horizontal="center" vertical="center"/>
    </xf>
    <xf numFmtId="165" fontId="9" fillId="24" borderId="42" xfId="7" applyNumberFormat="1" applyFont="1" applyFill="1" applyBorder="1" applyAlignment="1" applyProtection="1">
      <alignment horizontal="center" vertical="center"/>
    </xf>
    <xf numFmtId="1" fontId="9" fillId="24" borderId="43" xfId="7" applyNumberFormat="1" applyFont="1" applyFill="1" applyBorder="1" applyAlignment="1" applyProtection="1">
      <alignment horizontal="center" vertical="center"/>
    </xf>
    <xf numFmtId="0" fontId="9" fillId="24" borderId="34" xfId="7" applyFont="1" applyFill="1" applyBorder="1" applyAlignment="1" applyProtection="1">
      <alignment horizontal="center" vertical="center"/>
    </xf>
    <xf numFmtId="0" fontId="9" fillId="24" borderId="81" xfId="7" applyFont="1" applyFill="1" applyBorder="1" applyAlignment="1" applyProtection="1">
      <alignment horizontal="center" vertical="center"/>
    </xf>
    <xf numFmtId="0" fontId="9" fillId="24" borderId="18" xfId="7" applyFont="1" applyFill="1" applyBorder="1" applyAlignment="1" applyProtection="1">
      <alignment horizontal="center" vertical="center"/>
    </xf>
    <xf numFmtId="165" fontId="9" fillId="24" borderId="21" xfId="7" applyNumberFormat="1" applyFont="1" applyFill="1" applyBorder="1" applyAlignment="1" applyProtection="1">
      <alignment horizontal="center" vertical="center"/>
    </xf>
    <xf numFmtId="165" fontId="9" fillId="24" borderId="35" xfId="7" applyNumberFormat="1" applyFont="1" applyFill="1" applyBorder="1" applyAlignment="1" applyProtection="1">
      <alignment horizontal="center" vertical="center"/>
    </xf>
    <xf numFmtId="1" fontId="9" fillId="24" borderId="25" xfId="7" applyNumberFormat="1" applyFont="1" applyFill="1" applyBorder="1" applyAlignment="1" applyProtection="1">
      <alignment horizontal="center" vertical="center"/>
    </xf>
    <xf numFmtId="0" fontId="9" fillId="23" borderId="1" xfId="7" applyFont="1" applyFill="1" applyBorder="1" applyAlignment="1" applyProtection="1">
      <alignment horizontal="centerContinuous" vertical="top"/>
    </xf>
    <xf numFmtId="0" fontId="13" fillId="23" borderId="2" xfId="7" applyFont="1" applyFill="1" applyBorder="1" applyAlignment="1" applyProtection="1">
      <alignment horizontal="centerContinuous" vertical="top"/>
    </xf>
    <xf numFmtId="170" fontId="9" fillId="23" borderId="2" xfId="7" applyNumberFormat="1" applyFont="1" applyFill="1" applyBorder="1" applyAlignment="1" applyProtection="1">
      <alignment horizontal="left" vertical="top"/>
    </xf>
    <xf numFmtId="170" fontId="9" fillId="23" borderId="2" xfId="7" applyNumberFormat="1" applyFont="1" applyFill="1" applyBorder="1" applyAlignment="1" applyProtection="1">
      <alignment horizontal="center" vertical="center"/>
    </xf>
    <xf numFmtId="0" fontId="13" fillId="23" borderId="7" xfId="7" applyFont="1" applyFill="1" applyBorder="1" applyAlignment="1" applyProtection="1">
      <alignment horizontal="centerContinuous" vertical="top"/>
    </xf>
    <xf numFmtId="0" fontId="9" fillId="23" borderId="3" xfId="7" applyFont="1" applyFill="1" applyBorder="1" applyAlignment="1" applyProtection="1">
      <alignment horizontal="centerContinuous"/>
    </xf>
    <xf numFmtId="0" fontId="13" fillId="23" borderId="0" xfId="7" applyFont="1" applyFill="1" applyAlignment="1" applyProtection="1">
      <alignment horizontal="centerContinuous"/>
    </xf>
    <xf numFmtId="0" fontId="9" fillId="23" borderId="0" xfId="7" applyFont="1" applyFill="1" applyAlignment="1" applyProtection="1">
      <alignment horizontal="centerContinuous"/>
    </xf>
    <xf numFmtId="0" fontId="9" fillId="23" borderId="0" xfId="7" applyFont="1" applyFill="1" applyAlignment="1" applyProtection="1">
      <alignment horizontal="center" vertical="center"/>
    </xf>
    <xf numFmtId="0" fontId="7" fillId="23" borderId="0" xfId="7" applyFont="1" applyFill="1" applyAlignment="1" applyProtection="1">
      <alignment horizontal="centerContinuous" vertical="top"/>
    </xf>
    <xf numFmtId="0" fontId="9" fillId="23" borderId="0" xfId="7" applyFont="1" applyFill="1" applyAlignment="1" applyProtection="1">
      <alignment horizontal="centerContinuous" vertical="top"/>
    </xf>
    <xf numFmtId="0" fontId="13" fillId="23" borderId="8" xfId="7" applyFont="1" applyFill="1" applyBorder="1" applyAlignment="1" applyProtection="1">
      <alignment horizontal="centerContinuous"/>
    </xf>
    <xf numFmtId="170" fontId="9" fillId="23" borderId="0" xfId="7" applyNumberFormat="1" applyFont="1" applyFill="1" applyAlignment="1" applyProtection="1">
      <alignment horizontal="left"/>
    </xf>
    <xf numFmtId="0" fontId="18" fillId="23" borderId="0" xfId="7" applyFont="1" applyFill="1" applyAlignment="1" applyProtection="1">
      <alignment horizontal="center" vertical="center"/>
    </xf>
    <xf numFmtId="0" fontId="13" fillId="23" borderId="0" xfId="7" applyFont="1" applyFill="1" applyAlignment="1" applyProtection="1">
      <alignment horizontal="left"/>
    </xf>
    <xf numFmtId="171" fontId="9" fillId="23" borderId="0" xfId="7" applyNumberFormat="1" applyFont="1" applyFill="1" applyAlignment="1" applyProtection="1">
      <alignment horizontal="center" vertical="top"/>
    </xf>
    <xf numFmtId="0" fontId="13" fillId="14" borderId="0" xfId="7" applyFont="1" applyFill="1" applyAlignment="1" applyProtection="1">
      <alignment horizontal="centerContinuous"/>
    </xf>
    <xf numFmtId="0" fontId="9" fillId="0" borderId="0" xfId="7" applyFont="1" applyProtection="1"/>
    <xf numFmtId="0" fontId="13" fillId="24" borderId="70" xfId="7" applyFont="1" applyFill="1" applyBorder="1" applyAlignment="1" applyProtection="1">
      <alignment horizontal="left" indent="3"/>
    </xf>
    <xf numFmtId="0" fontId="9" fillId="24" borderId="70" xfId="7" applyFont="1" applyFill="1" applyBorder="1" applyAlignment="1" applyProtection="1">
      <alignment horizontal="centerContinuous"/>
    </xf>
    <xf numFmtId="0" fontId="9" fillId="24" borderId="41" xfId="7" applyFont="1" applyFill="1" applyBorder="1" applyAlignment="1" applyProtection="1">
      <alignment horizontal="center" vertical="center"/>
    </xf>
    <xf numFmtId="0" fontId="9" fillId="14" borderId="0" xfId="7" applyFont="1" applyFill="1" applyAlignment="1" applyProtection="1">
      <alignment horizontal="centerContinuous"/>
    </xf>
    <xf numFmtId="0" fontId="13" fillId="5" borderId="52" xfId="7" applyFont="1" applyFill="1" applyBorder="1" applyAlignment="1" applyProtection="1">
      <alignment horizontal="left"/>
    </xf>
    <xf numFmtId="0" fontId="9" fillId="5" borderId="70" xfId="7" applyFont="1" applyFill="1" applyBorder="1" applyAlignment="1" applyProtection="1">
      <alignment horizontal="centerContinuous"/>
    </xf>
    <xf numFmtId="0" fontId="9" fillId="5" borderId="41" xfId="7" applyFont="1" applyFill="1" applyBorder="1" applyAlignment="1" applyProtection="1">
      <alignment horizontal="centerContinuous"/>
    </xf>
    <xf numFmtId="171" fontId="9" fillId="23" borderId="0" xfId="7" applyNumberFormat="1" applyFont="1" applyFill="1" applyAlignment="1" applyProtection="1">
      <alignment horizontal="center"/>
    </xf>
    <xf numFmtId="0" fontId="13" fillId="24" borderId="0" xfId="7" applyFont="1" applyFill="1" applyAlignment="1" applyProtection="1">
      <alignment horizontal="left" indent="3"/>
    </xf>
    <xf numFmtId="0" fontId="9" fillId="24" borderId="0" xfId="7" applyFont="1" applyFill="1" applyAlignment="1" applyProtection="1">
      <alignment horizontal="centerContinuous"/>
    </xf>
    <xf numFmtId="0" fontId="9" fillId="24" borderId="55" xfId="7" applyFont="1" applyFill="1" applyBorder="1" applyAlignment="1" applyProtection="1">
      <alignment horizontal="center" vertical="center"/>
    </xf>
    <xf numFmtId="0" fontId="13" fillId="5" borderId="0" xfId="7" applyFont="1" applyFill="1" applyAlignment="1" applyProtection="1">
      <alignment horizontal="left" vertical="center"/>
    </xf>
    <xf numFmtId="0" fontId="9" fillId="5" borderId="0" xfId="7" applyFont="1" applyFill="1" applyAlignment="1" applyProtection="1">
      <alignment horizontal="centerContinuous"/>
    </xf>
    <xf numFmtId="0" fontId="9" fillId="5" borderId="55" xfId="7" applyFont="1" applyFill="1" applyBorder="1" applyAlignment="1" applyProtection="1">
      <alignment horizontal="centerContinuous"/>
    </xf>
    <xf numFmtId="0" fontId="13" fillId="24" borderId="28" xfId="7" applyFont="1" applyFill="1" applyBorder="1" applyAlignment="1" applyProtection="1">
      <alignment horizontal="left" indent="3"/>
    </xf>
    <xf numFmtId="0" fontId="9" fillId="24" borderId="28" xfId="7" applyFont="1" applyFill="1" applyBorder="1" applyAlignment="1" applyProtection="1">
      <alignment horizontal="centerContinuous"/>
    </xf>
    <xf numFmtId="0" fontId="9" fillId="24" borderId="57" xfId="7" applyFont="1" applyFill="1" applyBorder="1" applyAlignment="1" applyProtection="1">
      <alignment horizontal="center" vertical="center"/>
    </xf>
    <xf numFmtId="0" fontId="13" fillId="5" borderId="28" xfId="7" applyFont="1" applyFill="1" applyBorder="1" applyAlignment="1" applyProtection="1">
      <alignment horizontal="left" vertical="center"/>
    </xf>
    <xf numFmtId="0" fontId="9" fillId="5" borderId="28" xfId="7" applyFont="1" applyFill="1" applyBorder="1" applyAlignment="1" applyProtection="1">
      <alignment horizontal="centerContinuous"/>
    </xf>
    <xf numFmtId="0" fontId="9" fillId="5" borderId="57" xfId="7" applyFont="1" applyFill="1" applyBorder="1" applyAlignment="1" applyProtection="1">
      <alignment horizontal="centerContinuous"/>
    </xf>
    <xf numFmtId="0" fontId="9" fillId="23" borderId="3" xfId="7" applyFont="1" applyFill="1" applyBorder="1" applyProtection="1"/>
    <xf numFmtId="0" fontId="9" fillId="14" borderId="0" xfId="7" applyFont="1" applyFill="1" applyProtection="1"/>
    <xf numFmtId="0" fontId="9" fillId="14" borderId="0" xfId="7" applyFont="1" applyFill="1" applyAlignment="1" applyProtection="1">
      <alignment horizontal="center" vertical="center"/>
    </xf>
    <xf numFmtId="0" fontId="9" fillId="23" borderId="0" xfId="7" applyFont="1" applyFill="1" applyProtection="1"/>
    <xf numFmtId="0" fontId="13" fillId="23" borderId="8" xfId="7" applyFont="1" applyFill="1" applyBorder="1" applyProtection="1"/>
    <xf numFmtId="0" fontId="9" fillId="23" borderId="3" xfId="7" applyFont="1" applyFill="1" applyBorder="1" applyAlignment="1" applyProtection="1">
      <alignment vertical="top"/>
    </xf>
    <xf numFmtId="0" fontId="19" fillId="14" borderId="0" xfId="9" applyFont="1" applyFill="1" applyProtection="1"/>
    <xf numFmtId="0" fontId="9" fillId="0" borderId="0" xfId="7" applyFont="1" applyAlignment="1" applyProtection="1">
      <alignment vertical="top"/>
    </xf>
    <xf numFmtId="0" fontId="9" fillId="24" borderId="52" xfId="7" applyFont="1" applyFill="1" applyBorder="1" applyAlignment="1" applyProtection="1">
      <alignment vertical="top"/>
    </xf>
    <xf numFmtId="0" fontId="9" fillId="24" borderId="70" xfId="7" applyFont="1" applyFill="1" applyBorder="1" applyAlignment="1" applyProtection="1">
      <alignment vertical="top"/>
    </xf>
    <xf numFmtId="0" fontId="9" fillId="24" borderId="40" xfId="7" applyFont="1" applyFill="1" applyBorder="1" applyAlignment="1" applyProtection="1">
      <alignment horizontal="center" vertical="top"/>
    </xf>
    <xf numFmtId="0" fontId="9" fillId="24" borderId="41" xfId="7" applyFont="1" applyFill="1" applyBorder="1" applyAlignment="1" applyProtection="1">
      <alignment horizontal="center" vertical="top"/>
    </xf>
    <xf numFmtId="0" fontId="9" fillId="24" borderId="39" xfId="7" applyFont="1" applyFill="1" applyBorder="1" applyAlignment="1" applyProtection="1">
      <alignment horizontal="left" vertical="top"/>
    </xf>
    <xf numFmtId="0" fontId="9" fillId="24" borderId="42" xfId="7" applyFont="1" applyFill="1" applyBorder="1" applyAlignment="1" applyProtection="1">
      <alignment horizontal="center" vertical="top"/>
    </xf>
    <xf numFmtId="0" fontId="9" fillId="24" borderId="43" xfId="7" applyFont="1" applyFill="1" applyBorder="1" applyAlignment="1" applyProtection="1">
      <alignment horizontal="center" vertical="top"/>
    </xf>
    <xf numFmtId="0" fontId="9" fillId="23" borderId="0" xfId="7" applyFont="1" applyFill="1" applyAlignment="1" applyProtection="1">
      <alignment horizontal="center" vertical="top"/>
    </xf>
    <xf numFmtId="0" fontId="9" fillId="23" borderId="0" xfId="7" applyFont="1" applyFill="1" applyAlignment="1" applyProtection="1">
      <alignment vertical="top"/>
    </xf>
    <xf numFmtId="0" fontId="13" fillId="23" borderId="8" xfId="7" applyFont="1" applyFill="1" applyBorder="1" applyAlignment="1" applyProtection="1">
      <alignment vertical="top"/>
    </xf>
    <xf numFmtId="0" fontId="9" fillId="0" borderId="0" xfId="7" applyFont="1" applyAlignment="1" applyProtection="1">
      <alignment horizontal="center"/>
    </xf>
    <xf numFmtId="0" fontId="13" fillId="0" borderId="54" xfId="7" applyFont="1" applyBorder="1" applyAlignment="1" applyProtection="1">
      <alignment horizontal="center"/>
    </xf>
    <xf numFmtId="0" fontId="13" fillId="0" borderId="55" xfId="7" applyFont="1" applyBorder="1" applyAlignment="1" applyProtection="1">
      <alignment horizontal="center" vertical="center"/>
    </xf>
    <xf numFmtId="0" fontId="9" fillId="24" borderId="45" xfId="7" applyFont="1" applyFill="1" applyBorder="1" applyAlignment="1" applyProtection="1">
      <alignment horizontal="center"/>
    </xf>
    <xf numFmtId="0" fontId="9" fillId="24" borderId="46" xfId="7" applyFont="1" applyFill="1" applyBorder="1" applyAlignment="1" applyProtection="1">
      <alignment horizontal="center"/>
    </xf>
    <xf numFmtId="0" fontId="21" fillId="24" borderId="44" xfId="7" applyFont="1" applyFill="1" applyBorder="1" applyAlignment="1" applyProtection="1">
      <alignment horizontal="center" wrapText="1"/>
    </xf>
    <xf numFmtId="0" fontId="9" fillId="23" borderId="0" xfId="7" applyFont="1" applyFill="1" applyAlignment="1" applyProtection="1">
      <alignment horizontal="center"/>
    </xf>
    <xf numFmtId="0" fontId="13" fillId="24" borderId="32" xfId="7" applyFont="1" applyFill="1" applyBorder="1" applyAlignment="1" applyProtection="1">
      <alignment horizontal="centerContinuous"/>
    </xf>
    <xf numFmtId="0" fontId="13" fillId="24" borderId="65" xfId="7" applyFont="1" applyFill="1" applyBorder="1" applyAlignment="1" applyProtection="1">
      <alignment horizontal="centerContinuous"/>
    </xf>
    <xf numFmtId="0" fontId="9" fillId="24" borderId="20" xfId="7" applyFont="1" applyFill="1" applyBorder="1" applyAlignment="1" applyProtection="1">
      <alignment horizontal="centerContinuous"/>
    </xf>
    <xf numFmtId="0" fontId="9" fillId="24" borderId="127" xfId="7" applyFont="1" applyFill="1" applyBorder="1" applyAlignment="1" applyProtection="1">
      <alignment horizontal="centerContinuous"/>
    </xf>
    <xf numFmtId="0" fontId="9" fillId="24" borderId="65" xfId="7" applyFont="1" applyFill="1" applyBorder="1" applyAlignment="1" applyProtection="1">
      <alignment horizontal="centerContinuous"/>
    </xf>
    <xf numFmtId="0" fontId="9" fillId="24" borderId="23" xfId="7" applyFont="1" applyFill="1" applyBorder="1" applyAlignment="1" applyProtection="1">
      <alignment horizontal="centerContinuous"/>
    </xf>
    <xf numFmtId="0" fontId="9" fillId="23" borderId="54" xfId="7" applyFont="1" applyFill="1" applyBorder="1" applyAlignment="1" applyProtection="1">
      <alignment horizontal="left"/>
    </xf>
    <xf numFmtId="0" fontId="9" fillId="23" borderId="0" xfId="7" applyFont="1" applyFill="1" applyAlignment="1" applyProtection="1">
      <alignment horizontal="left"/>
    </xf>
    <xf numFmtId="0" fontId="9" fillId="23" borderId="3" xfId="7" applyFont="1" applyFill="1" applyBorder="1" applyAlignment="1" applyProtection="1">
      <alignment horizontal="center"/>
    </xf>
    <xf numFmtId="0" fontId="9" fillId="24" borderId="48" xfId="7" applyFont="1" applyFill="1" applyBorder="1" applyAlignment="1" applyProtection="1">
      <alignment horizontal="center"/>
    </xf>
    <xf numFmtId="0" fontId="9" fillId="24" borderId="49" xfId="7" applyFont="1" applyFill="1" applyBorder="1" applyAlignment="1" applyProtection="1">
      <alignment horizontal="center"/>
    </xf>
    <xf numFmtId="0" fontId="9" fillId="24" borderId="47" xfId="7" applyFont="1" applyFill="1" applyBorder="1" applyAlignment="1" applyProtection="1">
      <alignment horizontal="center"/>
    </xf>
    <xf numFmtId="0" fontId="9" fillId="24" borderId="50" xfId="7" applyFont="1" applyFill="1" applyBorder="1" applyAlignment="1" applyProtection="1">
      <alignment horizontal="center"/>
    </xf>
    <xf numFmtId="0" fontId="9" fillId="24" borderId="122" xfId="7" applyFont="1" applyFill="1" applyBorder="1" applyAlignment="1" applyProtection="1">
      <alignment horizontal="center" vertical="center"/>
    </xf>
    <xf numFmtId="0" fontId="9" fillId="24" borderId="123" xfId="7" applyFont="1" applyFill="1" applyBorder="1" applyAlignment="1" applyProtection="1">
      <alignment horizontal="center" vertical="center"/>
    </xf>
    <xf numFmtId="0" fontId="9" fillId="24" borderId="119" xfId="7" applyFont="1" applyFill="1" applyBorder="1" applyAlignment="1" applyProtection="1">
      <alignment horizontal="center" vertical="center"/>
    </xf>
    <xf numFmtId="0" fontId="9" fillId="24" borderId="120" xfId="7" applyFont="1" applyFill="1" applyBorder="1" applyAlignment="1" applyProtection="1">
      <alignment horizontal="center" vertical="center" wrapText="1"/>
    </xf>
    <xf numFmtId="0" fontId="13" fillId="23" borderId="8" xfId="7" applyFont="1" applyFill="1" applyBorder="1" applyAlignment="1" applyProtection="1">
      <alignment horizontal="center"/>
    </xf>
    <xf numFmtId="0" fontId="9" fillId="14" borderId="0" xfId="7" applyFont="1" applyFill="1" applyBorder="1" applyProtection="1"/>
    <xf numFmtId="165" fontId="9" fillId="23" borderId="0" xfId="7" applyNumberFormat="1" applyFont="1" applyFill="1" applyAlignment="1" applyProtection="1">
      <alignment horizontal="center"/>
    </xf>
    <xf numFmtId="0" fontId="9" fillId="24" borderId="67" xfId="7" applyFont="1" applyFill="1" applyBorder="1" applyAlignment="1" applyProtection="1">
      <alignment horizontal="center" vertical="center"/>
    </xf>
    <xf numFmtId="0" fontId="9" fillId="24" borderId="16" xfId="7" applyFont="1" applyFill="1" applyBorder="1" applyAlignment="1" applyProtection="1">
      <alignment horizontal="center" vertical="center"/>
    </xf>
    <xf numFmtId="0" fontId="8" fillId="24" borderId="16" xfId="7" quotePrefix="1" applyFont="1" applyFill="1" applyBorder="1" applyAlignment="1" applyProtection="1">
      <alignment horizontal="center" vertical="center" wrapText="1"/>
    </xf>
    <xf numFmtId="188" fontId="8" fillId="24" borderId="16" xfId="7" applyNumberFormat="1" applyFont="1" applyFill="1" applyBorder="1" applyAlignment="1" applyProtection="1">
      <alignment horizontal="center" vertical="center" wrapText="1"/>
    </xf>
    <xf numFmtId="188" fontId="8" fillId="24" borderId="18" xfId="7" applyNumberFormat="1" applyFont="1" applyFill="1" applyBorder="1" applyAlignment="1" applyProtection="1">
      <alignment horizontal="center" vertical="center" wrapText="1"/>
    </xf>
    <xf numFmtId="0" fontId="8" fillId="24" borderId="67" xfId="7" applyFont="1" applyFill="1" applyBorder="1" applyAlignment="1" applyProtection="1">
      <alignment horizontal="center" vertical="center" wrapText="1"/>
    </xf>
    <xf numFmtId="0" fontId="8" fillId="24" borderId="16" xfId="7" applyFont="1" applyFill="1" applyBorder="1" applyAlignment="1" applyProtection="1">
      <alignment horizontal="center" vertical="center"/>
    </xf>
    <xf numFmtId="0" fontId="9" fillId="23" borderId="3" xfId="7" applyFont="1" applyFill="1" applyBorder="1" applyAlignment="1" applyProtection="1">
      <alignment horizontal="left"/>
    </xf>
    <xf numFmtId="170" fontId="9" fillId="23" borderId="0" xfId="7" applyNumberFormat="1" applyFont="1" applyFill="1" applyProtection="1"/>
    <xf numFmtId="0" fontId="15" fillId="23" borderId="0" xfId="8" applyFont="1" applyFill="1" applyProtection="1"/>
    <xf numFmtId="0" fontId="9" fillId="23" borderId="0" xfId="7" applyFont="1" applyFill="1" applyAlignment="1" applyProtection="1">
      <alignment horizontal="centerContinuous" wrapText="1"/>
    </xf>
    <xf numFmtId="0" fontId="20" fillId="23" borderId="0" xfId="7" applyFont="1" applyFill="1" applyBorder="1" applyAlignment="1" applyProtection="1">
      <alignment horizontal="right" vertical="center" wrapText="1"/>
    </xf>
    <xf numFmtId="0" fontId="56" fillId="23" borderId="0" xfId="7" applyNumberFormat="1" applyFont="1" applyFill="1" applyAlignment="1" applyProtection="1">
      <alignment horizontal="right"/>
    </xf>
    <xf numFmtId="0" fontId="56" fillId="23" borderId="0" xfId="7" applyNumberFormat="1" applyFont="1" applyFill="1" applyAlignment="1" applyProtection="1">
      <alignment horizontal="left"/>
    </xf>
    <xf numFmtId="167" fontId="9" fillId="23" borderId="0" xfId="7" applyNumberFormat="1" applyFont="1" applyFill="1" applyAlignment="1" applyProtection="1">
      <alignment horizontal="left"/>
    </xf>
    <xf numFmtId="0" fontId="13" fillId="23" borderId="8" xfId="7" applyFont="1" applyFill="1" applyBorder="1" applyAlignment="1" applyProtection="1">
      <alignment horizontal="left"/>
    </xf>
    <xf numFmtId="170" fontId="13" fillId="2" borderId="0" xfId="7" applyNumberFormat="1" applyFont="1" applyFill="1" applyAlignment="1" applyProtection="1">
      <alignment horizontal="left"/>
    </xf>
    <xf numFmtId="170" fontId="13" fillId="14" borderId="0" xfId="7" applyNumberFormat="1" applyFont="1" applyFill="1" applyAlignment="1" applyProtection="1">
      <alignment horizontal="left"/>
    </xf>
    <xf numFmtId="0" fontId="9" fillId="14" borderId="0" xfId="7" applyFont="1" applyFill="1" applyAlignment="1" applyProtection="1">
      <alignment horizontal="center"/>
    </xf>
    <xf numFmtId="0" fontId="9" fillId="23" borderId="0" xfId="7" applyFont="1" applyFill="1" applyAlignment="1" applyProtection="1">
      <alignment horizontal="centerContinuous" vertical="center" wrapText="1"/>
    </xf>
    <xf numFmtId="0" fontId="9" fillId="23" borderId="0" xfId="7" applyFont="1" applyFill="1" applyAlignment="1" applyProtection="1">
      <alignment vertical="center"/>
    </xf>
    <xf numFmtId="0" fontId="13" fillId="2" borderId="0" xfId="7" applyFont="1" applyFill="1" applyAlignment="1" applyProtection="1">
      <alignment horizontal="left"/>
    </xf>
    <xf numFmtId="0" fontId="13" fillId="14" borderId="0" xfId="7" applyFont="1" applyFill="1" applyAlignment="1" applyProtection="1">
      <alignment horizontal="left"/>
    </xf>
    <xf numFmtId="0" fontId="8" fillId="23" borderId="0" xfId="7" applyFont="1" applyFill="1" applyBorder="1" applyAlignment="1" applyProtection="1">
      <alignment horizontal="right" vertical="top"/>
    </xf>
    <xf numFmtId="169" fontId="9" fillId="23" borderId="3" xfId="7" applyNumberFormat="1" applyFont="1" applyFill="1" applyBorder="1" applyAlignment="1" applyProtection="1">
      <alignment horizontal="center"/>
    </xf>
    <xf numFmtId="0" fontId="9" fillId="2" borderId="0" xfId="7" applyFont="1" applyFill="1" applyAlignment="1" applyProtection="1">
      <alignment horizontal="center"/>
    </xf>
    <xf numFmtId="165" fontId="9" fillId="24" borderId="36" xfId="7" applyNumberFormat="1" applyFont="1" applyFill="1" applyBorder="1" applyAlignment="1" applyProtection="1">
      <alignment horizontal="center" vertical="center"/>
    </xf>
    <xf numFmtId="165" fontId="9" fillId="24" borderId="27" xfId="7" applyNumberFormat="1" applyFont="1" applyFill="1" applyBorder="1" applyAlignment="1" applyProtection="1">
      <alignment horizontal="center" vertical="center"/>
    </xf>
    <xf numFmtId="169" fontId="13" fillId="23" borderId="8" xfId="7" applyNumberFormat="1" applyFont="1" applyFill="1" applyBorder="1" applyAlignment="1" applyProtection="1">
      <alignment horizontal="center"/>
    </xf>
    <xf numFmtId="0" fontId="9" fillId="23" borderId="4" xfId="7" applyFont="1" applyFill="1" applyBorder="1" applyProtection="1"/>
    <xf numFmtId="0" fontId="9" fillId="23" borderId="28" xfId="7" applyFont="1" applyFill="1" applyBorder="1" applyProtection="1"/>
    <xf numFmtId="0" fontId="9" fillId="24" borderId="31" xfId="7" applyFont="1" applyFill="1" applyBorder="1" applyAlignment="1" applyProtection="1">
      <alignment horizontal="centerContinuous"/>
    </xf>
    <xf numFmtId="0" fontId="9" fillId="24" borderId="4" xfId="7" applyFont="1" applyFill="1" applyBorder="1" applyAlignment="1" applyProtection="1">
      <alignment horizontal="centerContinuous"/>
    </xf>
    <xf numFmtId="0" fontId="13" fillId="24" borderId="51" xfId="7" applyFont="1" applyFill="1" applyBorder="1" applyAlignment="1" applyProtection="1">
      <alignment horizontal="centerContinuous"/>
    </xf>
    <xf numFmtId="0" fontId="13" fillId="24" borderId="51" xfId="7" applyFont="1" applyFill="1" applyBorder="1" applyAlignment="1" applyProtection="1">
      <alignment horizontal="centerContinuous" wrapText="1"/>
    </xf>
    <xf numFmtId="0" fontId="9" fillId="24" borderId="76" xfId="7" applyFont="1" applyFill="1" applyBorder="1" applyAlignment="1" applyProtection="1">
      <alignment horizontal="center" vertical="center"/>
    </xf>
    <xf numFmtId="0" fontId="9" fillId="2" borderId="0" xfId="7" applyFont="1" applyFill="1" applyAlignment="1" applyProtection="1">
      <alignment horizontal="center" vertical="center"/>
    </xf>
    <xf numFmtId="0" fontId="9" fillId="24" borderId="32" xfId="7" applyFont="1" applyFill="1" applyBorder="1" applyAlignment="1" applyProtection="1">
      <alignment horizontal="center" vertical="center" wrapText="1"/>
    </xf>
    <xf numFmtId="0" fontId="9" fillId="24" borderId="20" xfId="7" applyFont="1" applyFill="1" applyBorder="1" applyAlignment="1" applyProtection="1">
      <alignment horizontal="center" vertical="center" wrapText="1"/>
    </xf>
    <xf numFmtId="0" fontId="9" fillId="24" borderId="33" xfId="7" applyFont="1" applyFill="1" applyBorder="1" applyAlignment="1" applyProtection="1">
      <alignment horizontal="center" vertical="center" wrapText="1"/>
    </xf>
    <xf numFmtId="0" fontId="13" fillId="24" borderId="43" xfId="7" applyFont="1" applyFill="1" applyBorder="1" applyAlignment="1" applyProtection="1">
      <alignment horizontal="center" vertical="center" wrapText="1"/>
    </xf>
    <xf numFmtId="0" fontId="13" fillId="24" borderId="42" xfId="7" applyFont="1" applyFill="1" applyBorder="1" applyAlignment="1" applyProtection="1">
      <alignment horizontal="center" vertical="center" wrapText="1"/>
    </xf>
    <xf numFmtId="0" fontId="9" fillId="24" borderId="65" xfId="7" applyFont="1" applyFill="1" applyBorder="1" applyAlignment="1" applyProtection="1">
      <alignment horizontal="center" vertical="center" wrapText="1"/>
    </xf>
    <xf numFmtId="0" fontId="9" fillId="24" borderId="76" xfId="7" applyFont="1" applyFill="1" applyBorder="1" applyAlignment="1" applyProtection="1">
      <alignment horizontal="center" vertical="center" wrapText="1"/>
    </xf>
    <xf numFmtId="0" fontId="13" fillId="23" borderId="8" xfId="7" applyFont="1" applyFill="1" applyBorder="1" applyAlignment="1" applyProtection="1">
      <alignment horizontal="center" wrapText="1"/>
    </xf>
    <xf numFmtId="0" fontId="9" fillId="24" borderId="58" xfId="7" applyFont="1" applyFill="1" applyBorder="1" applyAlignment="1" applyProtection="1">
      <alignment horizontal="center" vertical="center"/>
    </xf>
    <xf numFmtId="0" fontId="9" fillId="0" borderId="0" xfId="7" applyFont="1" applyAlignment="1" applyProtection="1">
      <alignment horizontal="center" vertical="center"/>
    </xf>
    <xf numFmtId="0" fontId="9" fillId="24" borderId="132" xfId="7" applyFont="1" applyFill="1" applyBorder="1" applyAlignment="1" applyProtection="1">
      <alignment horizontal="center" vertical="center"/>
    </xf>
    <xf numFmtId="0" fontId="9" fillId="24" borderId="133" xfId="7" applyFont="1" applyFill="1" applyBorder="1" applyAlignment="1" applyProtection="1">
      <alignment horizontal="center" vertical="center"/>
    </xf>
    <xf numFmtId="0" fontId="9" fillId="24" borderId="134" xfId="7" applyFont="1" applyFill="1" applyBorder="1" applyAlignment="1" applyProtection="1">
      <alignment horizontal="center" vertical="center"/>
    </xf>
    <xf numFmtId="0" fontId="13" fillId="24" borderId="78" xfId="7" applyFont="1" applyFill="1" applyBorder="1" applyAlignment="1" applyProtection="1">
      <alignment horizontal="center" vertical="center"/>
    </xf>
    <xf numFmtId="0" fontId="13" fillId="24" borderId="81" xfId="7" applyFont="1" applyFill="1" applyBorder="1" applyAlignment="1" applyProtection="1">
      <alignment horizontal="center" vertical="center"/>
    </xf>
    <xf numFmtId="0" fontId="9" fillId="24" borderId="75" xfId="7" applyFont="1" applyFill="1" applyBorder="1" applyAlignment="1" applyProtection="1">
      <alignment horizontal="center" vertical="center"/>
    </xf>
    <xf numFmtId="165" fontId="9" fillId="24" borderId="20" xfId="7" applyNumberFormat="1" applyFont="1" applyFill="1" applyBorder="1" applyAlignment="1" applyProtection="1">
      <alignment horizontal="center" vertical="center"/>
    </xf>
    <xf numFmtId="1" fontId="9" fillId="24" borderId="20" xfId="7" applyNumberFormat="1" applyFont="1" applyFill="1" applyBorder="1" applyAlignment="1" applyProtection="1">
      <alignment horizontal="center" vertical="center"/>
    </xf>
    <xf numFmtId="1" fontId="9" fillId="24" borderId="23" xfId="7" applyNumberFormat="1" applyFont="1" applyFill="1" applyBorder="1" applyAlignment="1" applyProtection="1">
      <alignment horizontal="center" vertical="center"/>
    </xf>
    <xf numFmtId="1" fontId="9" fillId="24" borderId="65" xfId="7" applyNumberFormat="1" applyFont="1" applyFill="1" applyBorder="1" applyAlignment="1" applyProtection="1">
      <alignment horizontal="center" vertical="center"/>
    </xf>
    <xf numFmtId="1" fontId="9" fillId="24" borderId="135" xfId="7" applyNumberFormat="1" applyFont="1" applyFill="1" applyBorder="1" applyAlignment="1" applyProtection="1">
      <alignment horizontal="center" vertical="center"/>
    </xf>
    <xf numFmtId="1" fontId="9" fillId="24" borderId="127" xfId="7" applyNumberFormat="1" applyFont="1" applyFill="1" applyBorder="1" applyAlignment="1" applyProtection="1">
      <alignment horizontal="center" vertical="center"/>
    </xf>
    <xf numFmtId="2" fontId="9" fillId="24" borderId="32" xfId="7" applyNumberFormat="1" applyFont="1" applyFill="1" applyBorder="1" applyAlignment="1" applyProtection="1">
      <alignment horizontal="center" vertical="center"/>
    </xf>
    <xf numFmtId="2" fontId="13" fillId="24" borderId="77" xfId="7" applyNumberFormat="1" applyFont="1" applyFill="1" applyBorder="1" applyAlignment="1" applyProtection="1">
      <alignment horizontal="center" vertical="center"/>
    </xf>
    <xf numFmtId="165" fontId="9" fillId="24" borderId="65" xfId="7" applyNumberFormat="1" applyFont="1" applyFill="1" applyBorder="1" applyAlignment="1" applyProtection="1">
      <alignment horizontal="center" vertical="center"/>
    </xf>
    <xf numFmtId="2" fontId="9" fillId="24" borderId="120" xfId="7" applyNumberFormat="1" applyFont="1" applyFill="1" applyBorder="1" applyAlignment="1" applyProtection="1">
      <alignment horizontal="center" vertical="center"/>
    </xf>
    <xf numFmtId="1" fontId="9" fillId="24" borderId="76" xfId="7" applyNumberFormat="1" applyFont="1" applyFill="1" applyBorder="1" applyAlignment="1" applyProtection="1">
      <alignment horizontal="center" vertical="center"/>
    </xf>
    <xf numFmtId="1" fontId="13" fillId="23" borderId="8" xfId="7" applyNumberFormat="1" applyFont="1" applyFill="1" applyBorder="1" applyAlignment="1" applyProtection="1">
      <alignment horizontal="center"/>
    </xf>
    <xf numFmtId="165" fontId="9" fillId="24" borderId="122" xfId="7" applyNumberFormat="1" applyFont="1" applyFill="1" applyBorder="1" applyAlignment="1" applyProtection="1">
      <alignment horizontal="center" vertical="center"/>
    </xf>
    <xf numFmtId="165" fontId="9" fillId="24" borderId="119" xfId="7" applyNumberFormat="1" applyFont="1" applyFill="1" applyBorder="1" applyAlignment="1" applyProtection="1">
      <alignment horizontal="center" vertical="center"/>
    </xf>
    <xf numFmtId="1" fontId="9" fillId="24" borderId="119" xfId="7" applyNumberFormat="1" applyFont="1" applyFill="1" applyBorder="1" applyAlignment="1" applyProtection="1">
      <alignment horizontal="center" vertical="center"/>
    </xf>
    <xf numFmtId="1" fontId="9" fillId="24" borderId="120" xfId="7" applyNumberFormat="1" applyFont="1" applyFill="1" applyBorder="1" applyAlignment="1" applyProtection="1">
      <alignment horizontal="center" vertical="center"/>
    </xf>
    <xf numFmtId="1" fontId="9" fillId="24" borderId="123" xfId="7" applyNumberFormat="1" applyFont="1" applyFill="1" applyBorder="1" applyAlignment="1" applyProtection="1">
      <alignment horizontal="center" vertical="center"/>
    </xf>
    <xf numFmtId="1" fontId="9" fillId="24" borderId="19" xfId="7" applyNumberFormat="1" applyFont="1" applyFill="1" applyBorder="1" applyAlignment="1" applyProtection="1">
      <alignment horizontal="center" vertical="center"/>
    </xf>
    <xf numFmtId="1" fontId="9" fillId="24" borderId="22" xfId="7" applyNumberFormat="1" applyFont="1" applyFill="1" applyBorder="1" applyAlignment="1" applyProtection="1">
      <alignment horizontal="center" vertical="center"/>
    </xf>
    <xf numFmtId="2" fontId="9" fillId="24" borderId="37" xfId="7" applyNumberFormat="1" applyFont="1" applyFill="1" applyBorder="1" applyAlignment="1" applyProtection="1">
      <alignment horizontal="center" vertical="center"/>
    </xf>
    <xf numFmtId="165" fontId="9" fillId="24" borderId="104" xfId="7" applyNumberFormat="1" applyFont="1" applyFill="1" applyBorder="1" applyAlignment="1" applyProtection="1">
      <alignment horizontal="center" vertical="center"/>
    </xf>
    <xf numFmtId="165" fontId="9" fillId="24" borderId="19" xfId="7" applyNumberFormat="1" applyFont="1" applyFill="1" applyBorder="1" applyAlignment="1" applyProtection="1">
      <alignment horizontal="center" vertical="center"/>
    </xf>
    <xf numFmtId="1" fontId="9" fillId="24" borderId="66" xfId="7" applyNumberFormat="1" applyFont="1" applyFill="1" applyBorder="1" applyAlignment="1" applyProtection="1">
      <alignment horizontal="center" vertical="center"/>
    </xf>
    <xf numFmtId="1" fontId="9" fillId="24" borderId="105" xfId="7" applyNumberFormat="1" applyFont="1" applyFill="1" applyBorder="1" applyAlignment="1" applyProtection="1">
      <alignment horizontal="center" vertical="center"/>
    </xf>
    <xf numFmtId="1" fontId="9" fillId="24" borderId="74" xfId="7" applyNumberFormat="1" applyFont="1" applyFill="1" applyBorder="1" applyAlignment="1" applyProtection="1">
      <alignment horizontal="center" vertical="center"/>
    </xf>
    <xf numFmtId="1" fontId="9" fillId="24" borderId="14" xfId="7" applyNumberFormat="1" applyFont="1" applyFill="1" applyBorder="1" applyAlignment="1" applyProtection="1">
      <alignment horizontal="center" vertical="center"/>
    </xf>
    <xf numFmtId="1" fontId="9" fillId="24" borderId="63" xfId="7" applyNumberFormat="1" applyFont="1" applyFill="1" applyBorder="1" applyAlignment="1" applyProtection="1">
      <alignment horizontal="center" vertical="center"/>
    </xf>
    <xf numFmtId="165" fontId="9" fillId="24" borderId="34" xfId="7" applyNumberFormat="1" applyFont="1" applyFill="1" applyBorder="1" applyAlignment="1" applyProtection="1">
      <alignment horizontal="center" vertical="center"/>
    </xf>
    <xf numFmtId="165" fontId="9" fillId="24" borderId="16" xfId="7" applyNumberFormat="1" applyFont="1" applyFill="1" applyBorder="1" applyAlignment="1" applyProtection="1">
      <alignment horizontal="center" vertical="center"/>
    </xf>
    <xf numFmtId="1" fontId="9" fillId="24" borderId="16" xfId="7" applyNumberFormat="1" applyFont="1" applyFill="1" applyBorder="1" applyAlignment="1" applyProtection="1">
      <alignment horizontal="center" vertical="center"/>
    </xf>
    <xf numFmtId="1" fontId="9" fillId="24" borderId="18" xfId="7" applyNumberFormat="1" applyFont="1" applyFill="1" applyBorder="1" applyAlignment="1" applyProtection="1">
      <alignment horizontal="center" vertical="center"/>
    </xf>
    <xf numFmtId="1" fontId="9" fillId="24" borderId="34" xfId="7" applyNumberFormat="1" applyFont="1" applyFill="1" applyBorder="1" applyAlignment="1" applyProtection="1">
      <alignment horizontal="center" vertical="center"/>
    </xf>
    <xf numFmtId="1" fontId="9" fillId="24" borderId="17" xfId="7" applyNumberFormat="1" applyFont="1" applyFill="1" applyBorder="1" applyAlignment="1" applyProtection="1">
      <alignment horizontal="center" vertical="center"/>
    </xf>
    <xf numFmtId="2" fontId="9" fillId="24" borderId="34" xfId="7" applyNumberFormat="1" applyFont="1" applyFill="1" applyBorder="1" applyAlignment="1" applyProtection="1">
      <alignment horizontal="center" vertical="center"/>
    </xf>
    <xf numFmtId="2" fontId="13" fillId="24" borderId="78" xfId="7" applyNumberFormat="1" applyFont="1" applyFill="1" applyBorder="1" applyAlignment="1" applyProtection="1">
      <alignment horizontal="center" vertical="center"/>
    </xf>
    <xf numFmtId="165" fontId="9" fillId="24" borderId="67" xfId="7" applyNumberFormat="1" applyFont="1" applyFill="1" applyBorder="1" applyAlignment="1" applyProtection="1">
      <alignment horizontal="center" vertical="center"/>
    </xf>
    <xf numFmtId="1" fontId="9" fillId="24" borderId="67" xfId="7" applyNumberFormat="1" applyFont="1" applyFill="1" applyBorder="1" applyAlignment="1" applyProtection="1">
      <alignment horizontal="center" vertical="center"/>
    </xf>
    <xf numFmtId="1" fontId="9" fillId="24" borderId="75" xfId="7" applyNumberFormat="1" applyFont="1" applyFill="1" applyBorder="1" applyAlignment="1" applyProtection="1">
      <alignment horizontal="center" vertical="center"/>
    </xf>
    <xf numFmtId="167" fontId="9" fillId="23" borderId="0" xfId="7" applyNumberFormat="1" applyFont="1" applyFill="1" applyAlignment="1" applyProtection="1">
      <alignment vertical="center"/>
    </xf>
    <xf numFmtId="167" fontId="9" fillId="23" borderId="0" xfId="7" applyNumberFormat="1" applyFont="1" applyFill="1" applyAlignment="1" applyProtection="1">
      <alignment horizontal="center" vertical="center"/>
    </xf>
    <xf numFmtId="165" fontId="9" fillId="23" borderId="0" xfId="7" applyNumberFormat="1" applyFont="1" applyFill="1" applyAlignment="1" applyProtection="1">
      <alignment horizontal="center" vertical="center"/>
    </xf>
    <xf numFmtId="1" fontId="9" fillId="23" borderId="70" xfId="7" applyNumberFormat="1" applyFont="1" applyFill="1" applyBorder="1" applyAlignment="1" applyProtection="1">
      <alignment horizontal="center" vertical="center"/>
    </xf>
    <xf numFmtId="1" fontId="9" fillId="23" borderId="0" xfId="7" applyNumberFormat="1" applyFont="1" applyFill="1" applyBorder="1" applyAlignment="1" applyProtection="1">
      <alignment horizontal="center" vertical="center"/>
    </xf>
    <xf numFmtId="2" fontId="9" fillId="24" borderId="36" xfId="7" applyNumberFormat="1" applyFont="1" applyFill="1" applyBorder="1" applyAlignment="1" applyProtection="1">
      <alignment horizontal="center" vertical="center"/>
    </xf>
    <xf numFmtId="2" fontId="13" fillId="24" borderId="15" xfId="7" applyNumberFormat="1" applyFont="1" applyFill="1" applyBorder="1" applyAlignment="1" applyProtection="1">
      <alignment horizontal="center" vertical="center"/>
    </xf>
    <xf numFmtId="2" fontId="13" fillId="24" borderId="4" xfId="7" applyNumberFormat="1" applyFont="1" applyFill="1" applyBorder="1" applyAlignment="1" applyProtection="1">
      <alignment horizontal="center" vertical="center"/>
    </xf>
    <xf numFmtId="1" fontId="9" fillId="24" borderId="21" xfId="7" applyNumberFormat="1" applyFont="1" applyFill="1" applyBorder="1" applyAlignment="1" applyProtection="1">
      <alignment horizontal="center" vertical="center"/>
    </xf>
    <xf numFmtId="1" fontId="9" fillId="24" borderId="4" xfId="7" applyNumberFormat="1" applyFont="1" applyFill="1" applyBorder="1" applyAlignment="1" applyProtection="1">
      <alignment horizontal="center" vertical="center"/>
    </xf>
    <xf numFmtId="2" fontId="9" fillId="24" borderId="51" xfId="7" applyNumberFormat="1" applyFont="1" applyFill="1" applyBorder="1" applyAlignment="1" applyProtection="1">
      <alignment horizontal="center" vertical="center"/>
    </xf>
    <xf numFmtId="1" fontId="9" fillId="24" borderId="51" xfId="7" applyNumberFormat="1" applyFont="1" applyFill="1" applyBorder="1" applyAlignment="1" applyProtection="1">
      <alignment horizontal="center" vertical="center"/>
    </xf>
    <xf numFmtId="170" fontId="9" fillId="23" borderId="3" xfId="7" applyNumberFormat="1" applyFont="1" applyFill="1" applyBorder="1" applyAlignment="1" applyProtection="1">
      <alignment horizontal="center" vertical="top"/>
    </xf>
    <xf numFmtId="1" fontId="9" fillId="23" borderId="0" xfId="7" applyNumberFormat="1" applyFont="1" applyFill="1" applyAlignment="1" applyProtection="1">
      <alignment horizontal="center" vertical="center"/>
    </xf>
    <xf numFmtId="1" fontId="9" fillId="23" borderId="0" xfId="7" applyNumberFormat="1" applyFont="1" applyFill="1" applyAlignment="1" applyProtection="1">
      <alignment vertical="center"/>
    </xf>
    <xf numFmtId="0" fontId="9" fillId="24" borderId="58" xfId="7" applyFont="1" applyFill="1" applyBorder="1" applyAlignment="1" applyProtection="1">
      <alignment vertical="center"/>
    </xf>
    <xf numFmtId="189" fontId="9" fillId="7" borderId="58" xfId="7" applyNumberFormat="1" applyFont="1" applyFill="1" applyBorder="1" applyAlignment="1" applyProtection="1">
      <alignment horizontal="center" vertical="center"/>
    </xf>
    <xf numFmtId="179" fontId="9" fillId="7" borderId="28" xfId="7" applyNumberFormat="1" applyFont="1" applyFill="1" applyBorder="1" applyAlignment="1" applyProtection="1">
      <alignment horizontal="center" vertical="center"/>
    </xf>
    <xf numFmtId="2" fontId="40" fillId="24" borderId="48" xfId="7" applyNumberFormat="1" applyFont="1" applyFill="1" applyBorder="1" applyAlignment="1" applyProtection="1">
      <alignment horizontal="center" vertical="center"/>
    </xf>
    <xf numFmtId="1" fontId="40" fillId="24" borderId="48" xfId="7" applyNumberFormat="1" applyFont="1" applyFill="1" applyBorder="1" applyAlignment="1" applyProtection="1">
      <alignment horizontal="center" vertical="center"/>
    </xf>
    <xf numFmtId="165" fontId="40" fillId="24" borderId="48" xfId="7" applyNumberFormat="1" applyFont="1" applyFill="1" applyBorder="1" applyAlignment="1" applyProtection="1">
      <alignment horizontal="center" vertical="center"/>
    </xf>
    <xf numFmtId="170" fontId="13" fillId="23" borderId="8" xfId="7" applyNumberFormat="1" applyFont="1" applyFill="1" applyBorder="1" applyAlignment="1" applyProtection="1">
      <alignment horizontal="center" vertical="top"/>
    </xf>
    <xf numFmtId="0" fontId="13" fillId="23" borderId="0" xfId="7" applyFont="1" applyFill="1" applyAlignment="1" applyProtection="1">
      <alignment horizontal="center" vertical="center"/>
    </xf>
    <xf numFmtId="2" fontId="13" fillId="24" borderId="43" xfId="7" applyNumberFormat="1" applyFont="1" applyFill="1" applyBorder="1" applyAlignment="1" applyProtection="1">
      <alignment horizontal="center" vertical="center"/>
    </xf>
    <xf numFmtId="1" fontId="9" fillId="24" borderId="42" xfId="7" applyNumberFormat="1" applyFont="1" applyFill="1" applyBorder="1" applyAlignment="1" applyProtection="1">
      <alignment horizontal="center" vertical="center"/>
    </xf>
    <xf numFmtId="2" fontId="9" fillId="24" borderId="23" xfId="7" applyNumberFormat="1" applyFont="1" applyFill="1" applyBorder="1" applyAlignment="1" applyProtection="1">
      <alignment horizontal="center" vertical="center"/>
    </xf>
    <xf numFmtId="2" fontId="9" fillId="24" borderId="44" xfId="7" applyNumberFormat="1" applyFont="1" applyFill="1" applyBorder="1" applyAlignment="1" applyProtection="1">
      <alignment horizontal="center" vertical="center"/>
    </xf>
    <xf numFmtId="2" fontId="13" fillId="24" borderId="46" xfId="7" applyNumberFormat="1" applyFont="1" applyFill="1" applyBorder="1" applyAlignment="1" applyProtection="1">
      <alignment horizontal="center" vertical="center"/>
    </xf>
    <xf numFmtId="165" fontId="9" fillId="24" borderId="45" xfId="7" applyNumberFormat="1" applyFont="1" applyFill="1" applyBorder="1" applyAlignment="1" applyProtection="1">
      <alignment horizontal="center" vertical="center"/>
    </xf>
    <xf numFmtId="1" fontId="9" fillId="24" borderId="12" xfId="7" applyNumberFormat="1" applyFont="1" applyFill="1" applyBorder="1" applyAlignment="1" applyProtection="1">
      <alignment horizontal="center" vertical="center"/>
    </xf>
    <xf numFmtId="165" fontId="9" fillId="24" borderId="12" xfId="7" applyNumberFormat="1" applyFont="1" applyFill="1" applyBorder="1" applyAlignment="1" applyProtection="1">
      <alignment horizontal="center" vertical="center"/>
    </xf>
    <xf numFmtId="1" fontId="9" fillId="24" borderId="13" xfId="7" applyNumberFormat="1" applyFont="1" applyFill="1" applyBorder="1" applyAlignment="1" applyProtection="1">
      <alignment horizontal="center" vertical="center"/>
    </xf>
    <xf numFmtId="1" fontId="9" fillId="24" borderId="45" xfId="7" applyNumberFormat="1" applyFont="1" applyFill="1" applyBorder="1" applyAlignment="1" applyProtection="1">
      <alignment horizontal="center" vertical="center"/>
    </xf>
    <xf numFmtId="1" fontId="9" fillId="24" borderId="80" xfId="7" applyNumberFormat="1" applyFont="1" applyFill="1" applyBorder="1" applyAlignment="1" applyProtection="1">
      <alignment horizontal="center" vertical="center"/>
    </xf>
    <xf numFmtId="1" fontId="9" fillId="24" borderId="81" xfId="7" applyNumberFormat="1" applyFont="1" applyFill="1" applyBorder="1" applyAlignment="1" applyProtection="1">
      <alignment horizontal="center" vertical="center"/>
    </xf>
    <xf numFmtId="2" fontId="9" fillId="24" borderId="18" xfId="7" applyNumberFormat="1" applyFont="1" applyFill="1" applyBorder="1" applyAlignment="1" applyProtection="1">
      <alignment horizontal="center" vertical="center"/>
    </xf>
    <xf numFmtId="1" fontId="40" fillId="24" borderId="50" xfId="7" applyNumberFormat="1" applyFont="1" applyFill="1" applyBorder="1" applyAlignment="1" applyProtection="1">
      <alignment horizontal="center" vertical="center"/>
    </xf>
    <xf numFmtId="165" fontId="40" fillId="24" borderId="50" xfId="7" applyNumberFormat="1" applyFont="1" applyFill="1" applyBorder="1" applyAlignment="1" applyProtection="1">
      <alignment horizontal="center" vertical="center"/>
    </xf>
    <xf numFmtId="170" fontId="9" fillId="23" borderId="0" xfId="7" applyNumberFormat="1" applyFont="1" applyFill="1" applyAlignment="1" applyProtection="1">
      <alignment horizontal="center" vertical="center"/>
    </xf>
    <xf numFmtId="0" fontId="9" fillId="23" borderId="0" xfId="7" applyFont="1" applyFill="1" applyAlignment="1" applyProtection="1">
      <alignment horizontal="left" vertical="center"/>
    </xf>
    <xf numFmtId="165" fontId="13" fillId="24" borderId="36" xfId="7" applyNumberFormat="1" applyFont="1" applyFill="1" applyBorder="1" applyAlignment="1" applyProtection="1">
      <alignment horizontal="center" vertical="center"/>
    </xf>
    <xf numFmtId="165" fontId="13" fillId="24" borderId="4" xfId="7" applyNumberFormat="1" applyFont="1" applyFill="1" applyBorder="1" applyAlignment="1" applyProtection="1">
      <alignment horizontal="center" vertical="center"/>
    </xf>
    <xf numFmtId="165" fontId="13" fillId="24" borderId="25" xfId="7" applyNumberFormat="1" applyFont="1" applyFill="1" applyBorder="1" applyAlignment="1" applyProtection="1">
      <alignment horizontal="center" vertical="center"/>
    </xf>
    <xf numFmtId="0" fontId="9" fillId="24" borderId="20" xfId="7" applyFont="1" applyFill="1" applyBorder="1" applyAlignment="1" applyProtection="1">
      <alignment horizontal="center" vertical="center"/>
    </xf>
    <xf numFmtId="1" fontId="9" fillId="24" borderId="33" xfId="7" applyNumberFormat="1" applyFont="1" applyFill="1" applyBorder="1" applyAlignment="1" applyProtection="1">
      <alignment horizontal="center" vertical="center"/>
    </xf>
    <xf numFmtId="2" fontId="13" fillId="24" borderId="23" xfId="7" applyNumberFormat="1" applyFont="1" applyFill="1" applyBorder="1" applyAlignment="1" applyProtection="1">
      <alignment horizontal="center" vertical="center"/>
    </xf>
    <xf numFmtId="2" fontId="13" fillId="24" borderId="18" xfId="7" applyNumberFormat="1" applyFont="1" applyFill="1" applyBorder="1" applyAlignment="1" applyProtection="1">
      <alignment horizontal="center" vertical="center"/>
    </xf>
    <xf numFmtId="0" fontId="9" fillId="24" borderId="51" xfId="7" applyFont="1" applyFill="1" applyBorder="1" applyAlignment="1" applyProtection="1">
      <alignment horizontal="center" vertical="center"/>
    </xf>
    <xf numFmtId="0" fontId="17" fillId="23" borderId="0" xfId="7" applyFont="1" applyFill="1" applyAlignment="1" applyProtection="1">
      <alignment horizontal="left" vertical="center"/>
    </xf>
    <xf numFmtId="0" fontId="17" fillId="23" borderId="0" xfId="7" applyFont="1" applyFill="1" applyAlignment="1" applyProtection="1">
      <alignment horizontal="center" vertical="center"/>
    </xf>
    <xf numFmtId="0" fontId="9" fillId="24" borderId="122" xfId="7" applyFont="1" applyFill="1" applyBorder="1" applyAlignment="1" applyProtection="1">
      <alignment horizontal="center" vertical="center" wrapText="1"/>
    </xf>
    <xf numFmtId="0" fontId="13" fillId="24" borderId="120" xfId="7" applyFont="1" applyFill="1" applyBorder="1" applyAlignment="1" applyProtection="1">
      <alignment horizontal="center" vertical="center" wrapText="1"/>
    </xf>
    <xf numFmtId="0" fontId="13" fillId="24" borderId="131" xfId="7" applyFont="1" applyFill="1" applyBorder="1" applyAlignment="1" applyProtection="1">
      <alignment horizontal="center" vertical="center" wrapText="1"/>
    </xf>
    <xf numFmtId="0" fontId="9" fillId="24" borderId="123" xfId="7" applyFont="1" applyFill="1" applyBorder="1" applyAlignment="1" applyProtection="1">
      <alignment horizontal="center" vertical="center" wrapText="1"/>
    </xf>
    <xf numFmtId="0" fontId="9" fillId="24" borderId="119" xfId="7" applyFont="1" applyFill="1" applyBorder="1" applyAlignment="1" applyProtection="1">
      <alignment horizontal="center" vertical="center" wrapText="1"/>
    </xf>
    <xf numFmtId="0" fontId="22" fillId="24" borderId="119" xfId="7" applyFont="1" applyFill="1" applyBorder="1" applyAlignment="1" applyProtection="1">
      <alignment horizontal="center" vertical="center" wrapText="1"/>
    </xf>
    <xf numFmtId="0" fontId="9" fillId="24" borderId="12" xfId="7" applyFont="1" applyFill="1" applyBorder="1" applyAlignment="1" applyProtection="1">
      <alignment horizontal="center" vertical="center" wrapText="1"/>
    </xf>
    <xf numFmtId="0" fontId="9" fillId="24" borderId="21" xfId="7" applyFont="1" applyFill="1" applyBorder="1" applyAlignment="1" applyProtection="1">
      <alignment horizontal="center" vertical="center" wrapText="1"/>
    </xf>
    <xf numFmtId="0" fontId="9" fillId="24" borderId="38" xfId="7" applyFont="1" applyFill="1" applyBorder="1" applyAlignment="1" applyProtection="1">
      <alignment horizontal="center" vertical="center" wrapText="1"/>
    </xf>
    <xf numFmtId="0" fontId="9" fillId="24" borderId="25" xfId="7" applyFont="1" applyFill="1" applyBorder="1" applyAlignment="1" applyProtection="1">
      <alignment horizontal="center" vertical="center" wrapText="1"/>
    </xf>
    <xf numFmtId="167" fontId="9" fillId="23" borderId="0" xfId="7" applyNumberFormat="1" applyFont="1" applyFill="1" applyAlignment="1" applyProtection="1">
      <alignment horizontal="left" vertical="center"/>
    </xf>
    <xf numFmtId="165" fontId="39" fillId="24" borderId="36" xfId="7" applyNumberFormat="1" applyFont="1" applyFill="1" applyBorder="1" applyAlignment="1" applyProtection="1">
      <alignment horizontal="center" vertical="center"/>
    </xf>
    <xf numFmtId="165" fontId="39" fillId="24" borderId="25" xfId="7" applyNumberFormat="1" applyFont="1" applyFill="1" applyBorder="1" applyAlignment="1" applyProtection="1">
      <alignment horizontal="center" vertical="center"/>
    </xf>
    <xf numFmtId="165" fontId="39" fillId="24" borderId="4" xfId="7" applyNumberFormat="1" applyFont="1" applyFill="1" applyBorder="1" applyAlignment="1" applyProtection="1">
      <alignment horizontal="center" vertical="center"/>
    </xf>
    <xf numFmtId="165" fontId="39" fillId="24" borderId="27" xfId="7" applyNumberFormat="1" applyFont="1" applyFill="1" applyBorder="1" applyAlignment="1" applyProtection="1">
      <alignment horizontal="center" vertical="center"/>
    </xf>
    <xf numFmtId="1" fontId="39" fillId="24" borderId="21" xfId="7" applyNumberFormat="1" applyFont="1" applyFill="1" applyBorder="1" applyAlignment="1" applyProtection="1">
      <alignment horizontal="center" vertical="center"/>
    </xf>
    <xf numFmtId="165" fontId="39" fillId="24" borderId="21" xfId="7" applyNumberFormat="1" applyFont="1" applyFill="1" applyBorder="1" applyAlignment="1" applyProtection="1">
      <alignment horizontal="center" vertical="center"/>
    </xf>
    <xf numFmtId="2" fontId="39" fillId="24" borderId="31" xfId="7" applyNumberFormat="1" applyFont="1" applyFill="1" applyBorder="1" applyAlignment="1" applyProtection="1">
      <alignment horizontal="center" vertical="center"/>
    </xf>
    <xf numFmtId="0" fontId="57" fillId="23" borderId="0" xfId="7" applyNumberFormat="1" applyFont="1" applyFill="1" applyAlignment="1" applyProtection="1">
      <alignment vertical="center"/>
    </xf>
    <xf numFmtId="0" fontId="9" fillId="24" borderId="47" xfId="7" applyFont="1" applyFill="1" applyBorder="1" applyAlignment="1" applyProtection="1">
      <alignment vertical="center"/>
    </xf>
    <xf numFmtId="189" fontId="9" fillId="24" borderId="49" xfId="7" applyNumberFormat="1" applyFont="1" applyFill="1" applyBorder="1" applyAlignment="1" applyProtection="1">
      <alignment horizontal="center" vertical="center"/>
    </xf>
    <xf numFmtId="179" fontId="9" fillId="24" borderId="28" xfId="7" applyNumberFormat="1" applyFont="1" applyFill="1" applyBorder="1" applyAlignment="1" applyProtection="1">
      <alignment horizontal="center" vertical="center"/>
    </xf>
    <xf numFmtId="2" fontId="40" fillId="24" borderId="36" xfId="7" applyNumberFormat="1" applyFont="1" applyFill="1" applyBorder="1" applyAlignment="1" applyProtection="1">
      <alignment horizontal="center" vertical="center"/>
    </xf>
    <xf numFmtId="2" fontId="40" fillId="24" borderId="27" xfId="7" applyNumberFormat="1" applyFont="1" applyFill="1" applyBorder="1" applyAlignment="1" applyProtection="1">
      <alignment horizontal="center" vertical="center"/>
    </xf>
    <xf numFmtId="1" fontId="40" fillId="24" borderId="21" xfId="7" applyNumberFormat="1" applyFont="1" applyFill="1" applyBorder="1" applyAlignment="1" applyProtection="1">
      <alignment horizontal="center" vertical="center"/>
    </xf>
    <xf numFmtId="165" fontId="40" fillId="24" borderId="21" xfId="7" applyNumberFormat="1" applyFont="1" applyFill="1" applyBorder="1" applyAlignment="1" applyProtection="1">
      <alignment horizontal="center" vertical="center"/>
    </xf>
    <xf numFmtId="170" fontId="9" fillId="23" borderId="54" xfId="7" applyNumberFormat="1" applyFont="1" applyFill="1" applyBorder="1" applyAlignment="1" applyProtection="1">
      <alignment horizontal="center" vertical="center"/>
    </xf>
    <xf numFmtId="165" fontId="41" fillId="24" borderId="36" xfId="7" applyNumberFormat="1" applyFont="1" applyFill="1" applyBorder="1" applyAlignment="1" applyProtection="1">
      <alignment horizontal="center" vertical="center"/>
    </xf>
    <xf numFmtId="9" fontId="42" fillId="21" borderId="36" xfId="2" applyFont="1" applyFill="1" applyBorder="1" applyAlignment="1" applyProtection="1">
      <alignment horizontal="center" vertical="center"/>
    </xf>
    <xf numFmtId="9" fontId="42" fillId="21" borderId="27" xfId="2" applyFont="1" applyFill="1" applyBorder="1" applyAlignment="1" applyProtection="1">
      <alignment horizontal="center" vertical="center"/>
    </xf>
    <xf numFmtId="9" fontId="42" fillId="21" borderId="21" xfId="2" applyFont="1" applyFill="1" applyBorder="1" applyAlignment="1" applyProtection="1">
      <alignment horizontal="center" vertical="center"/>
    </xf>
    <xf numFmtId="187" fontId="42" fillId="21" borderId="50" xfId="2" applyNumberFormat="1" applyFont="1" applyFill="1" applyBorder="1" applyAlignment="1" applyProtection="1">
      <alignment horizontal="center" vertical="center"/>
    </xf>
    <xf numFmtId="0" fontId="42" fillId="21" borderId="21" xfId="1" applyNumberFormat="1" applyFont="1" applyFill="1" applyBorder="1" applyAlignment="1" applyProtection="1">
      <alignment horizontal="center" vertical="center"/>
    </xf>
    <xf numFmtId="0" fontId="42" fillId="21" borderId="21" xfId="2" applyNumberFormat="1" applyFont="1" applyFill="1" applyBorder="1" applyAlignment="1" applyProtection="1">
      <alignment horizontal="center" vertical="center"/>
    </xf>
    <xf numFmtId="9" fontId="42" fillId="21" borderId="25" xfId="2" applyNumberFormat="1" applyFont="1" applyFill="1" applyBorder="1" applyAlignment="1" applyProtection="1">
      <alignment horizontal="center" vertical="center"/>
    </xf>
    <xf numFmtId="0" fontId="17" fillId="23" borderId="0" xfId="7" applyFont="1" applyFill="1" applyAlignment="1" applyProtection="1">
      <alignment horizontal="right" vertical="center"/>
    </xf>
    <xf numFmtId="165" fontId="13" fillId="24" borderId="47" xfId="7" applyNumberFormat="1" applyFont="1" applyFill="1" applyBorder="1" applyAlignment="1" applyProtection="1">
      <alignment horizontal="center" vertical="center"/>
    </xf>
    <xf numFmtId="165" fontId="13" fillId="24" borderId="28" xfId="7" applyNumberFormat="1" applyFont="1" applyFill="1" applyBorder="1" applyAlignment="1" applyProtection="1">
      <alignment horizontal="center" vertical="center"/>
    </xf>
    <xf numFmtId="165" fontId="13" fillId="24" borderId="49" xfId="7" applyNumberFormat="1" applyFont="1" applyFill="1" applyBorder="1" applyAlignment="1" applyProtection="1">
      <alignment horizontal="center" vertical="center"/>
    </xf>
    <xf numFmtId="1" fontId="13" fillId="24" borderId="52" xfId="7" applyNumberFormat="1" applyFont="1" applyFill="1" applyBorder="1" applyAlignment="1" applyProtection="1">
      <alignment horizontal="left" vertical="top"/>
    </xf>
    <xf numFmtId="1" fontId="13" fillId="24" borderId="70" xfId="7" applyNumberFormat="1" applyFont="1" applyFill="1" applyBorder="1" applyAlignment="1" applyProtection="1">
      <alignment horizontal="left" vertical="top"/>
    </xf>
    <xf numFmtId="0" fontId="9" fillId="24" borderId="23" xfId="7" applyFont="1" applyFill="1" applyBorder="1" applyAlignment="1" applyProtection="1">
      <alignment horizontal="center" vertical="center" wrapText="1"/>
    </xf>
    <xf numFmtId="1" fontId="13" fillId="24" borderId="54" xfId="7" applyNumberFormat="1" applyFont="1" applyFill="1" applyBorder="1" applyAlignment="1" applyProtection="1">
      <alignment horizontal="left" vertical="top"/>
    </xf>
    <xf numFmtId="1" fontId="13" fillId="24" borderId="0" xfId="7" applyNumberFormat="1" applyFont="1" applyFill="1" applyAlignment="1" applyProtection="1">
      <alignment horizontal="left" vertical="top"/>
    </xf>
    <xf numFmtId="184" fontId="20" fillId="24" borderId="68" xfId="7" applyNumberFormat="1" applyFont="1" applyFill="1" applyBorder="1" applyAlignment="1" applyProtection="1">
      <alignment horizontal="center" vertical="center"/>
    </xf>
    <xf numFmtId="184" fontId="20" fillId="24" borderId="134" xfId="7" applyNumberFormat="1" applyFont="1" applyFill="1" applyBorder="1" applyAlignment="1" applyProtection="1">
      <alignment horizontal="center" vertical="center"/>
    </xf>
    <xf numFmtId="184" fontId="20" fillId="24" borderId="109" xfId="7" applyNumberFormat="1" applyFont="1" applyFill="1" applyBorder="1" applyAlignment="1" applyProtection="1">
      <alignment horizontal="center" vertical="center"/>
    </xf>
    <xf numFmtId="184" fontId="20" fillId="24" borderId="109" xfId="7" applyNumberFormat="1" applyFont="1" applyFill="1" applyBorder="1" applyAlignment="1" applyProtection="1">
      <alignment horizontal="center" vertical="center" wrapText="1"/>
    </xf>
    <xf numFmtId="184" fontId="20" fillId="24" borderId="109" xfId="7" quotePrefix="1" applyNumberFormat="1" applyFont="1" applyFill="1" applyBorder="1" applyAlignment="1" applyProtection="1">
      <alignment horizontal="center" vertical="center"/>
    </xf>
    <xf numFmtId="184" fontId="20" fillId="24" borderId="69" xfId="7" quotePrefix="1" applyNumberFormat="1" applyFont="1" applyFill="1" applyBorder="1" applyAlignment="1" applyProtection="1">
      <alignment horizontal="center" vertical="center"/>
    </xf>
    <xf numFmtId="184" fontId="20" fillId="24" borderId="75" xfId="7" applyNumberFormat="1" applyFont="1" applyFill="1" applyBorder="1" applyAlignment="1" applyProtection="1">
      <alignment horizontal="center" vertical="center"/>
    </xf>
    <xf numFmtId="184" fontId="43" fillId="24" borderId="36" xfId="7" applyNumberFormat="1" applyFont="1" applyFill="1" applyBorder="1" applyAlignment="1" applyProtection="1">
      <alignment horizontal="center" vertical="center"/>
    </xf>
    <xf numFmtId="184" fontId="43" fillId="24" borderId="27" xfId="7" applyNumberFormat="1" applyFont="1" applyFill="1" applyBorder="1" applyAlignment="1" applyProtection="1">
      <alignment horizontal="center" vertical="center"/>
    </xf>
    <xf numFmtId="184" fontId="43" fillId="24" borderId="21" xfId="7" applyNumberFormat="1" applyFont="1" applyFill="1" applyBorder="1" applyAlignment="1" applyProtection="1">
      <alignment horizontal="center" vertical="center"/>
    </xf>
    <xf numFmtId="185" fontId="43" fillId="24" borderId="21" xfId="7" applyNumberFormat="1" applyFont="1" applyFill="1" applyBorder="1" applyAlignment="1" applyProtection="1">
      <alignment horizontal="center" vertical="center"/>
    </xf>
    <xf numFmtId="1" fontId="43" fillId="24" borderId="21" xfId="7" applyNumberFormat="1" applyFont="1" applyFill="1" applyBorder="1" applyAlignment="1" applyProtection="1">
      <alignment horizontal="center" vertical="center"/>
    </xf>
    <xf numFmtId="184" fontId="43" fillId="24" borderId="25" xfId="7" applyNumberFormat="1" applyFont="1" applyFill="1" applyBorder="1" applyAlignment="1" applyProtection="1">
      <alignment horizontal="center" vertical="center"/>
    </xf>
    <xf numFmtId="2" fontId="39" fillId="24" borderId="51" xfId="7" applyNumberFormat="1" applyFont="1" applyFill="1" applyBorder="1" applyAlignment="1" applyProtection="1">
      <alignment horizontal="center" vertical="center"/>
    </xf>
    <xf numFmtId="168" fontId="9" fillId="23" borderId="3" xfId="7" applyNumberFormat="1" applyFont="1" applyFill="1" applyBorder="1" applyAlignment="1" applyProtection="1">
      <alignment horizontal="center" vertical="top"/>
    </xf>
    <xf numFmtId="9" fontId="13" fillId="23" borderId="0" xfId="2" applyFont="1" applyFill="1" applyBorder="1" applyAlignment="1" applyProtection="1">
      <alignment horizontal="left" vertical="center"/>
    </xf>
    <xf numFmtId="9" fontId="13" fillId="23" borderId="0" xfId="2" applyFont="1" applyFill="1" applyBorder="1" applyAlignment="1" applyProtection="1">
      <alignment horizontal="center" vertical="center"/>
    </xf>
    <xf numFmtId="1" fontId="13" fillId="24" borderId="56" xfId="7" applyNumberFormat="1" applyFont="1" applyFill="1" applyBorder="1" applyAlignment="1" applyProtection="1">
      <alignment horizontal="left" vertical="top"/>
    </xf>
    <xf numFmtId="1" fontId="13" fillId="24" borderId="28" xfId="7" applyNumberFormat="1" applyFont="1" applyFill="1" applyBorder="1" applyAlignment="1" applyProtection="1">
      <alignment horizontal="left" vertical="top"/>
    </xf>
    <xf numFmtId="9" fontId="42" fillId="21" borderId="47" xfId="2" applyFont="1" applyFill="1" applyBorder="1" applyAlignment="1" applyProtection="1">
      <alignment horizontal="center" vertical="center"/>
    </xf>
    <xf numFmtId="9" fontId="42" fillId="21" borderId="48" xfId="2" applyFont="1" applyFill="1" applyBorder="1" applyAlignment="1" applyProtection="1">
      <alignment horizontal="center" vertical="center"/>
    </xf>
    <xf numFmtId="9" fontId="42" fillId="21" borderId="50" xfId="2" applyFont="1" applyFill="1" applyBorder="1" applyAlignment="1" applyProtection="1">
      <alignment horizontal="center" vertical="center"/>
    </xf>
    <xf numFmtId="186" fontId="42" fillId="21" borderId="50" xfId="2" applyNumberFormat="1" applyFont="1" applyFill="1" applyBorder="1" applyAlignment="1" applyProtection="1">
      <alignment horizontal="center" vertical="center"/>
    </xf>
    <xf numFmtId="9" fontId="42" fillId="21" borderId="49" xfId="2" applyFont="1" applyFill="1" applyBorder="1" applyAlignment="1" applyProtection="1">
      <alignment horizontal="center" vertical="center"/>
    </xf>
    <xf numFmtId="0" fontId="13" fillId="23" borderId="0" xfId="7" applyFont="1" applyFill="1" applyAlignment="1" applyProtection="1">
      <alignment horizontal="left" vertical="center"/>
    </xf>
    <xf numFmtId="0" fontId="13" fillId="23" borderId="0" xfId="7" applyFont="1" applyFill="1" applyAlignment="1" applyProtection="1">
      <alignment vertical="center"/>
    </xf>
    <xf numFmtId="165" fontId="13" fillId="23" borderId="0" xfId="7" applyNumberFormat="1" applyFont="1" applyFill="1" applyAlignment="1" applyProtection="1">
      <alignment horizontal="center" vertical="center"/>
    </xf>
    <xf numFmtId="0" fontId="45" fillId="21" borderId="51" xfId="7" applyFont="1" applyFill="1" applyBorder="1" applyAlignment="1" applyProtection="1">
      <alignment horizontal="center" vertical="center" wrapText="1"/>
    </xf>
    <xf numFmtId="168" fontId="13" fillId="23" borderId="8" xfId="7" applyNumberFormat="1" applyFont="1" applyFill="1" applyBorder="1" applyAlignment="1" applyProtection="1">
      <alignment horizontal="center" vertical="top"/>
    </xf>
    <xf numFmtId="9" fontId="13" fillId="14" borderId="0" xfId="2" applyFont="1" applyFill="1" applyBorder="1" applyAlignment="1" applyProtection="1">
      <alignment horizontal="left" vertical="center"/>
    </xf>
    <xf numFmtId="170" fontId="9" fillId="23" borderId="0" xfId="7" applyNumberFormat="1" applyFont="1" applyFill="1" applyAlignment="1" applyProtection="1">
      <alignment vertical="center"/>
    </xf>
    <xf numFmtId="168" fontId="9" fillId="23" borderId="30" xfId="7" applyNumberFormat="1" applyFont="1" applyFill="1" applyBorder="1" applyAlignment="1" applyProtection="1">
      <alignment horizontal="center" vertical="top"/>
    </xf>
    <xf numFmtId="0" fontId="30" fillId="23" borderId="59" xfId="7" applyFont="1" applyFill="1" applyBorder="1" applyProtection="1"/>
    <xf numFmtId="0" fontId="9" fillId="23" borderId="59" xfId="7" applyFont="1" applyFill="1" applyBorder="1" applyProtection="1"/>
    <xf numFmtId="0" fontId="9" fillId="23" borderId="121" xfId="7" applyFont="1" applyFill="1" applyBorder="1" applyAlignment="1" applyProtection="1">
      <alignment horizontal="center" vertical="center"/>
    </xf>
    <xf numFmtId="0" fontId="17" fillId="23" borderId="59" xfId="7" applyFont="1" applyFill="1" applyBorder="1" applyProtection="1"/>
    <xf numFmtId="0" fontId="17" fillId="23" borderId="121" xfId="7" applyFont="1" applyFill="1" applyBorder="1" applyProtection="1"/>
    <xf numFmtId="0" fontId="9" fillId="23" borderId="59" xfId="7" applyFont="1" applyFill="1" applyBorder="1" applyAlignment="1" applyProtection="1">
      <alignment horizontal="centerContinuous"/>
    </xf>
    <xf numFmtId="0" fontId="9" fillId="23" borderId="121" xfId="7" applyFont="1" applyFill="1" applyBorder="1" applyAlignment="1" applyProtection="1">
      <alignment horizontal="centerContinuous"/>
    </xf>
    <xf numFmtId="164" fontId="9" fillId="23" borderId="59" xfId="1" applyFont="1" applyFill="1" applyBorder="1" applyAlignment="1" applyProtection="1">
      <alignment horizontal="centerContinuous"/>
    </xf>
    <xf numFmtId="164" fontId="9" fillId="23" borderId="121" xfId="1" applyFont="1" applyFill="1" applyBorder="1" applyAlignment="1" applyProtection="1">
      <alignment horizontal="centerContinuous"/>
    </xf>
    <xf numFmtId="0" fontId="13" fillId="23" borderId="59" xfId="0" applyFont="1" applyFill="1" applyBorder="1" applyAlignment="1" applyProtection="1">
      <alignment horizontal="center" vertical="center"/>
    </xf>
    <xf numFmtId="0" fontId="13" fillId="23" borderId="59" xfId="0" applyFont="1" applyFill="1" applyBorder="1" applyAlignment="1" applyProtection="1">
      <alignment horizontal="left" vertical="center"/>
    </xf>
    <xf numFmtId="168" fontId="9" fillId="23" borderId="59" xfId="7" applyNumberFormat="1" applyFont="1" applyFill="1" applyBorder="1" applyAlignment="1" applyProtection="1">
      <alignment horizontal="center" vertical="top"/>
    </xf>
    <xf numFmtId="0" fontId="13" fillId="23" borderId="59" xfId="7" applyFont="1" applyFill="1" applyBorder="1" applyAlignment="1" applyProtection="1">
      <alignment horizontal="left"/>
    </xf>
    <xf numFmtId="168" fontId="9" fillId="23" borderId="59" xfId="7" applyNumberFormat="1" applyFont="1" applyFill="1" applyBorder="1" applyAlignment="1" applyProtection="1">
      <alignment vertical="top"/>
    </xf>
    <xf numFmtId="168" fontId="13" fillId="23" borderId="62" xfId="7" applyNumberFormat="1" applyFont="1" applyFill="1" applyBorder="1" applyAlignment="1" applyProtection="1">
      <alignment horizontal="center" vertical="top"/>
    </xf>
    <xf numFmtId="0" fontId="9" fillId="15" borderId="0" xfId="5" applyFont="1" applyFill="1" applyAlignment="1" applyProtection="1">
      <alignment horizontal="center" vertical="center"/>
      <protection locked="0"/>
    </xf>
    <xf numFmtId="49" fontId="32" fillId="15" borderId="3" xfId="5" applyNumberFormat="1" applyFont="1" applyFill="1" applyBorder="1" applyAlignment="1" applyProtection="1">
      <alignment vertical="center"/>
      <protection locked="0"/>
    </xf>
    <xf numFmtId="49" fontId="33" fillId="15" borderId="0" xfId="5" applyNumberFormat="1" applyFont="1" applyFill="1" applyAlignment="1" applyProtection="1">
      <alignment vertical="center"/>
      <protection locked="0"/>
    </xf>
    <xf numFmtId="167" fontId="9" fillId="15" borderId="9" xfId="5" applyNumberFormat="1" applyFont="1" applyFill="1" applyBorder="1" applyAlignment="1" applyProtection="1">
      <alignment horizontal="center" vertical="center"/>
      <protection locked="0"/>
    </xf>
    <xf numFmtId="167" fontId="9" fillId="15" borderId="0" xfId="5" applyNumberFormat="1" applyFont="1" applyFill="1" applyAlignment="1" applyProtection="1">
      <alignment horizontal="center" vertical="center"/>
      <protection locked="0"/>
    </xf>
    <xf numFmtId="167" fontId="9" fillId="15" borderId="10" xfId="5" applyNumberFormat="1" applyFont="1" applyFill="1" applyBorder="1" applyAlignment="1" applyProtection="1">
      <alignment horizontal="center" vertical="center"/>
      <protection locked="0"/>
    </xf>
    <xf numFmtId="167" fontId="9" fillId="15" borderId="0" xfId="5" applyNumberFormat="1" applyFont="1" applyFill="1" applyAlignment="1" applyProtection="1">
      <alignment vertical="center"/>
      <protection locked="0"/>
    </xf>
    <xf numFmtId="167" fontId="9" fillId="15" borderId="29" xfId="5" applyNumberFormat="1" applyFont="1" applyFill="1" applyBorder="1" applyAlignment="1" applyProtection="1">
      <alignment vertical="center"/>
      <protection locked="0"/>
    </xf>
    <xf numFmtId="167" fontId="9" fillId="15" borderId="8" xfId="5" applyNumberFormat="1" applyFont="1" applyFill="1" applyBorder="1" applyAlignment="1" applyProtection="1">
      <alignment vertical="center"/>
      <protection locked="0"/>
    </xf>
    <xf numFmtId="49" fontId="32" fillId="14" borderId="3" xfId="5" applyNumberFormat="1" applyFont="1" applyFill="1" applyBorder="1" applyAlignment="1" applyProtection="1">
      <alignment vertical="center"/>
      <protection locked="0"/>
    </xf>
    <xf numFmtId="0" fontId="9" fillId="14" borderId="3" xfId="5" applyFont="1" applyFill="1" applyBorder="1" applyAlignment="1" applyProtection="1">
      <alignment vertical="center"/>
      <protection locked="0"/>
    </xf>
    <xf numFmtId="10" fontId="9" fillId="14" borderId="0" xfId="5" applyNumberFormat="1" applyFont="1" applyFill="1" applyAlignment="1" applyProtection="1">
      <alignment horizontal="center" vertical="center"/>
      <protection locked="0"/>
    </xf>
    <xf numFmtId="165" fontId="9" fillId="14" borderId="29" xfId="5" applyNumberFormat="1" applyFont="1" applyFill="1" applyBorder="1" applyAlignment="1" applyProtection="1">
      <alignment horizontal="center" vertical="center"/>
      <protection locked="0"/>
    </xf>
    <xf numFmtId="167" fontId="9" fillId="14" borderId="12" xfId="5" applyNumberFormat="1" applyFont="1" applyFill="1" applyBorder="1" applyAlignment="1" applyProtection="1">
      <alignment horizontal="center" vertical="center"/>
      <protection locked="0"/>
    </xf>
    <xf numFmtId="167" fontId="9" fillId="14" borderId="13" xfId="5" applyNumberFormat="1" applyFont="1" applyFill="1" applyBorder="1" applyAlignment="1" applyProtection="1">
      <alignment horizontal="center" vertical="center"/>
      <protection locked="0"/>
    </xf>
    <xf numFmtId="167" fontId="9" fillId="14" borderId="14" xfId="5" applyNumberFormat="1" applyFont="1" applyFill="1" applyBorder="1" applyAlignment="1" applyProtection="1">
      <alignment horizontal="center" vertical="center"/>
      <protection locked="0"/>
    </xf>
    <xf numFmtId="1" fontId="9" fillId="14" borderId="13" xfId="5" applyNumberFormat="1" applyFont="1" applyFill="1" applyBorder="1" applyAlignment="1" applyProtection="1">
      <alignment horizontal="center" vertical="center"/>
      <protection locked="0"/>
    </xf>
    <xf numFmtId="1" fontId="9" fillId="23" borderId="13" xfId="5" applyNumberFormat="1" applyFont="1" applyFill="1" applyBorder="1" applyAlignment="1" applyProtection="1">
      <alignment horizontal="center" vertical="center"/>
      <protection locked="0"/>
    </xf>
    <xf numFmtId="167" fontId="9" fillId="14" borderId="13" xfId="5" applyNumberFormat="1" applyFont="1" applyFill="1" applyBorder="1" applyAlignment="1" applyProtection="1">
      <alignment vertical="center"/>
      <protection locked="0"/>
    </xf>
    <xf numFmtId="167" fontId="9" fillId="14" borderId="45" xfId="5" applyNumberFormat="1" applyFont="1" applyFill="1" applyBorder="1" applyAlignment="1" applyProtection="1">
      <alignment vertical="center"/>
      <protection locked="0"/>
    </xf>
    <xf numFmtId="1" fontId="9" fillId="14" borderId="12" xfId="5" applyNumberFormat="1" applyFont="1" applyFill="1" applyBorder="1" applyAlignment="1" applyProtection="1">
      <alignment horizontal="center" vertical="center"/>
      <protection locked="0"/>
    </xf>
    <xf numFmtId="167" fontId="9" fillId="14" borderId="8" xfId="5" applyNumberFormat="1" applyFont="1" applyFill="1" applyBorder="1" applyAlignment="1" applyProtection="1">
      <alignment vertical="center"/>
      <protection locked="0"/>
    </xf>
    <xf numFmtId="0" fontId="9" fillId="14" borderId="11" xfId="5" applyFont="1" applyFill="1" applyBorder="1" applyAlignment="1" applyProtection="1">
      <alignment vertical="center"/>
      <protection locked="0"/>
    </xf>
    <xf numFmtId="1" fontId="9" fillId="15" borderId="9" xfId="5" applyNumberFormat="1" applyFont="1" applyFill="1" applyBorder="1" applyAlignment="1" applyProtection="1">
      <alignment horizontal="center" vertical="center"/>
      <protection locked="0"/>
    </xf>
    <xf numFmtId="0" fontId="9" fillId="23" borderId="3" xfId="5" applyFont="1" applyFill="1" applyBorder="1" applyAlignment="1" applyProtection="1">
      <alignment vertical="center"/>
      <protection locked="0"/>
    </xf>
    <xf numFmtId="0" fontId="2" fillId="14" borderId="1" xfId="5" applyFill="1" applyBorder="1" applyProtection="1"/>
    <xf numFmtId="0" fontId="2" fillId="14" borderId="2" xfId="5" applyFill="1" applyBorder="1" applyAlignment="1" applyProtection="1">
      <alignment horizontal="centerContinuous"/>
    </xf>
    <xf numFmtId="49" fontId="2" fillId="14" borderId="2" xfId="5" applyNumberFormat="1" applyFill="1" applyBorder="1" applyAlignment="1" applyProtection="1">
      <alignment horizontal="centerContinuous"/>
    </xf>
    <xf numFmtId="1" fontId="2" fillId="14" borderId="2" xfId="5" applyNumberFormat="1" applyFill="1" applyBorder="1" applyAlignment="1" applyProtection="1">
      <alignment horizontal="centerContinuous"/>
    </xf>
    <xf numFmtId="1" fontId="2" fillId="23" borderId="2" xfId="5" applyNumberFormat="1" applyFill="1" applyBorder="1" applyAlignment="1" applyProtection="1">
      <alignment horizontal="centerContinuous"/>
    </xf>
    <xf numFmtId="0" fontId="2" fillId="14" borderId="2" xfId="5" applyFill="1" applyBorder="1" applyAlignment="1" applyProtection="1">
      <alignment horizontal="center"/>
    </xf>
    <xf numFmtId="0" fontId="2" fillId="14" borderId="2" xfId="5" applyFill="1" applyBorder="1" applyProtection="1"/>
    <xf numFmtId="0" fontId="2" fillId="14" borderId="7" xfId="5" applyFill="1" applyBorder="1" applyProtection="1"/>
    <xf numFmtId="0" fontId="2" fillId="14" borderId="3" xfId="5" applyFill="1" applyBorder="1" applyProtection="1"/>
    <xf numFmtId="0" fontId="2" fillId="14" borderId="0" xfId="5" applyFill="1" applyAlignment="1" applyProtection="1">
      <alignment horizontal="centerContinuous" vertical="center"/>
    </xf>
    <xf numFmtId="0" fontId="2" fillId="14" borderId="0" xfId="5" applyFill="1" applyAlignment="1" applyProtection="1">
      <alignment horizontal="centerContinuous"/>
    </xf>
    <xf numFmtId="0" fontId="1" fillId="14" borderId="0" xfId="5" applyFont="1" applyFill="1" applyAlignment="1" applyProtection="1">
      <alignment horizontal="centerContinuous" vertical="center"/>
    </xf>
    <xf numFmtId="49" fontId="2" fillId="14" borderId="0" xfId="5" applyNumberFormat="1" applyFill="1" applyAlignment="1" applyProtection="1">
      <alignment horizontal="centerContinuous" vertical="center"/>
    </xf>
    <xf numFmtId="1" fontId="2" fillId="14" borderId="0" xfId="5" applyNumberFormat="1" applyFill="1" applyAlignment="1" applyProtection="1">
      <alignment horizontal="centerContinuous" vertical="center"/>
    </xf>
    <xf numFmtId="1" fontId="2" fillId="23" borderId="0" xfId="5" applyNumberFormat="1" applyFill="1" applyAlignment="1" applyProtection="1">
      <alignment horizontal="centerContinuous" vertical="center"/>
    </xf>
    <xf numFmtId="0" fontId="2" fillId="14" borderId="13" xfId="5" applyFill="1" applyBorder="1" applyAlignment="1" applyProtection="1">
      <alignment horizontal="centerContinuous" vertical="center"/>
    </xf>
    <xf numFmtId="0" fontId="2" fillId="14" borderId="114" xfId="5" applyFill="1" applyBorder="1" applyAlignment="1" applyProtection="1">
      <alignment horizontal="centerContinuous" vertical="center"/>
    </xf>
    <xf numFmtId="0" fontId="9" fillId="15" borderId="30" xfId="5" applyFont="1" applyFill="1" applyBorder="1" applyAlignment="1" applyProtection="1">
      <alignment vertical="center"/>
    </xf>
    <xf numFmtId="49" fontId="9" fillId="15" borderId="59" xfId="5" applyNumberFormat="1" applyFont="1" applyFill="1" applyBorder="1" applyAlignment="1" applyProtection="1">
      <alignment vertical="center"/>
    </xf>
    <xf numFmtId="0" fontId="9" fillId="15" borderId="113" xfId="5" applyFont="1" applyFill="1" applyBorder="1" applyAlignment="1" applyProtection="1">
      <alignment horizontal="center" vertical="center"/>
    </xf>
    <xf numFmtId="0" fontId="9" fillId="15" borderId="59" xfId="5" applyFont="1" applyFill="1" applyBorder="1" applyAlignment="1" applyProtection="1">
      <alignment horizontal="center" vertical="center"/>
    </xf>
    <xf numFmtId="0" fontId="9" fillId="15" borderId="61" xfId="5" applyFont="1" applyFill="1" applyBorder="1" applyAlignment="1" applyProtection="1">
      <alignment horizontal="center" vertical="center"/>
    </xf>
    <xf numFmtId="49" fontId="9" fillId="15" borderId="59" xfId="5" applyNumberFormat="1" applyFont="1" applyFill="1" applyBorder="1" applyAlignment="1" applyProtection="1">
      <alignment horizontal="center" vertical="center"/>
    </xf>
    <xf numFmtId="0" fontId="54" fillId="15" borderId="59" xfId="5" applyFont="1" applyFill="1" applyBorder="1" applyAlignment="1" applyProtection="1">
      <alignment horizontal="centerContinuous" vertical="center"/>
    </xf>
    <xf numFmtId="0" fontId="9" fillId="15" borderId="59" xfId="5" applyFont="1" applyFill="1" applyBorder="1" applyAlignment="1" applyProtection="1">
      <alignment horizontal="centerContinuous" vertical="center"/>
    </xf>
    <xf numFmtId="0" fontId="9" fillId="15" borderId="59" xfId="5" applyFont="1" applyFill="1" applyBorder="1" applyAlignment="1" applyProtection="1">
      <alignment horizontal="centerContinuous" vertical="center" wrapText="1"/>
    </xf>
    <xf numFmtId="0" fontId="9" fillId="15" borderId="59" xfId="5" applyFont="1" applyFill="1" applyBorder="1" applyAlignment="1" applyProtection="1">
      <alignment horizontal="left" vertical="center"/>
    </xf>
    <xf numFmtId="0" fontId="9" fillId="15" borderId="113" xfId="5" applyFont="1" applyFill="1" applyBorder="1" applyAlignment="1" applyProtection="1">
      <alignment horizontal="centerContinuous" vertical="center"/>
    </xf>
    <xf numFmtId="0" fontId="9" fillId="15" borderId="8" xfId="5" applyFont="1" applyFill="1" applyBorder="1" applyAlignment="1" applyProtection="1">
      <alignment horizontal="center" vertical="center"/>
    </xf>
    <xf numFmtId="0" fontId="9" fillId="15" borderId="3" xfId="5" applyFont="1" applyFill="1" applyBorder="1" applyAlignment="1" applyProtection="1">
      <alignment vertical="center"/>
    </xf>
    <xf numFmtId="49" fontId="9" fillId="15" borderId="0" xfId="5" applyNumberFormat="1" applyFont="1" applyFill="1" applyAlignment="1" applyProtection="1">
      <alignment vertical="center"/>
    </xf>
    <xf numFmtId="0" fontId="9" fillId="15" borderId="9" xfId="5" applyFont="1" applyFill="1" applyBorder="1" applyAlignment="1" applyProtection="1">
      <alignment horizontal="center" vertical="center"/>
    </xf>
    <xf numFmtId="0" fontId="9" fillId="15" borderId="0" xfId="5" applyFont="1" applyFill="1" applyAlignment="1" applyProtection="1">
      <alignment horizontal="center" vertical="center"/>
    </xf>
    <xf numFmtId="0" fontId="9" fillId="15" borderId="10" xfId="5" applyFont="1" applyFill="1" applyBorder="1" applyAlignment="1" applyProtection="1">
      <alignment horizontal="center" vertical="center"/>
    </xf>
    <xf numFmtId="49" fontId="9" fillId="15" borderId="0" xfId="5" applyNumberFormat="1" applyFont="1" applyFill="1" applyAlignment="1" applyProtection="1">
      <alignment horizontal="center" vertical="center"/>
    </xf>
    <xf numFmtId="0" fontId="54" fillId="15" borderId="0" xfId="5" applyFont="1" applyFill="1" applyAlignment="1" applyProtection="1">
      <alignment horizontal="center" vertical="center"/>
    </xf>
    <xf numFmtId="0" fontId="9" fillId="15" borderId="0" xfId="5" applyFont="1" applyFill="1" applyAlignment="1" applyProtection="1">
      <alignment horizontal="center" vertical="center" wrapText="1"/>
    </xf>
    <xf numFmtId="0" fontId="9" fillId="15" borderId="9" xfId="5" applyFont="1" applyFill="1" applyBorder="1" applyAlignment="1" applyProtection="1">
      <alignment vertical="center"/>
    </xf>
    <xf numFmtId="0" fontId="9" fillId="15" borderId="8" xfId="5" applyFont="1" applyFill="1" applyBorder="1" applyAlignment="1" applyProtection="1">
      <alignment vertical="center"/>
    </xf>
    <xf numFmtId="1" fontId="9" fillId="15" borderId="0" xfId="5" applyNumberFormat="1" applyFont="1" applyFill="1" applyAlignment="1" applyProtection="1">
      <alignment horizontal="center" vertical="center"/>
    </xf>
    <xf numFmtId="0" fontId="13" fillId="15" borderId="9" xfId="5" applyFont="1" applyFill="1" applyBorder="1" applyAlignment="1" applyProtection="1">
      <alignment horizontal="center" vertical="center"/>
    </xf>
    <xf numFmtId="0" fontId="13" fillId="15" borderId="0" xfId="5" applyFont="1" applyFill="1" applyAlignment="1" applyProtection="1">
      <alignment horizontal="center" vertical="center"/>
    </xf>
    <xf numFmtId="0" fontId="13" fillId="15" borderId="10" xfId="5" applyFont="1" applyFill="1" applyBorder="1" applyAlignment="1" applyProtection="1">
      <alignment horizontal="center" vertical="center"/>
    </xf>
    <xf numFmtId="49" fontId="13" fillId="15" borderId="0" xfId="5" applyNumberFormat="1" applyFont="1" applyFill="1" applyAlignment="1" applyProtection="1">
      <alignment horizontal="center" vertical="center"/>
    </xf>
    <xf numFmtId="1" fontId="13" fillId="15" borderId="0" xfId="5" applyNumberFormat="1" applyFont="1" applyFill="1" applyAlignment="1" applyProtection="1">
      <alignment horizontal="center" vertical="center"/>
    </xf>
    <xf numFmtId="0" fontId="13" fillId="15" borderId="8" xfId="5" applyFont="1" applyFill="1" applyBorder="1" applyAlignment="1" applyProtection="1">
      <alignment horizontal="center" vertical="center"/>
    </xf>
    <xf numFmtId="0" fontId="9" fillId="15" borderId="11" xfId="5" applyFont="1" applyFill="1" applyBorder="1" applyAlignment="1" applyProtection="1">
      <alignment vertical="center"/>
    </xf>
    <xf numFmtId="49" fontId="9" fillId="15" borderId="13" xfId="5" applyNumberFormat="1" applyFont="1" applyFill="1" applyBorder="1" applyAlignment="1" applyProtection="1">
      <alignment vertical="center"/>
    </xf>
    <xf numFmtId="0" fontId="9" fillId="15" borderId="12" xfId="5" applyFont="1" applyFill="1" applyBorder="1" applyAlignment="1" applyProtection="1">
      <alignment horizontal="center" vertical="center"/>
    </xf>
    <xf numFmtId="0" fontId="9" fillId="15" borderId="13" xfId="5" applyFont="1" applyFill="1" applyBorder="1" applyAlignment="1" applyProtection="1">
      <alignment horizontal="center" vertical="center"/>
    </xf>
    <xf numFmtId="0" fontId="9" fillId="15" borderId="14" xfId="5" applyFont="1" applyFill="1" applyBorder="1" applyAlignment="1" applyProtection="1">
      <alignment horizontal="left" vertical="center"/>
    </xf>
    <xf numFmtId="0" fontId="9" fillId="15" borderId="12" xfId="5" applyFont="1" applyFill="1" applyBorder="1" applyAlignment="1" applyProtection="1">
      <alignment vertical="center"/>
    </xf>
    <xf numFmtId="0" fontId="9" fillId="15" borderId="12" xfId="5" applyFont="1" applyFill="1" applyBorder="1" applyAlignment="1" applyProtection="1">
      <alignment horizontal="centerContinuous" vertical="center"/>
    </xf>
    <xf numFmtId="49" fontId="32" fillId="15" borderId="3" xfId="5" applyNumberFormat="1" applyFont="1" applyFill="1" applyBorder="1" applyAlignment="1" applyProtection="1">
      <alignment vertical="center"/>
    </xf>
    <xf numFmtId="49" fontId="33" fillId="15" borderId="0" xfId="5" applyNumberFormat="1" applyFont="1" applyFill="1" applyAlignment="1" applyProtection="1">
      <alignment vertical="center"/>
    </xf>
    <xf numFmtId="167" fontId="9" fillId="15" borderId="9" xfId="5" applyNumberFormat="1" applyFont="1" applyFill="1" applyBorder="1" applyAlignment="1" applyProtection="1">
      <alignment horizontal="center" vertical="center"/>
    </xf>
    <xf numFmtId="167" fontId="9" fillId="15" borderId="0" xfId="5" applyNumberFormat="1" applyFont="1" applyFill="1" applyAlignment="1" applyProtection="1">
      <alignment horizontal="center" vertical="center"/>
    </xf>
    <xf numFmtId="167" fontId="9" fillId="15" borderId="10" xfId="5" applyNumberFormat="1" applyFont="1" applyFill="1" applyBorder="1" applyAlignment="1" applyProtection="1">
      <alignment horizontal="center" vertical="center"/>
    </xf>
    <xf numFmtId="167" fontId="9" fillId="15" borderId="0" xfId="5" applyNumberFormat="1" applyFont="1" applyFill="1" applyAlignment="1" applyProtection="1">
      <alignment vertical="center"/>
    </xf>
    <xf numFmtId="167" fontId="9" fillId="15" borderId="84" xfId="5" applyNumberFormat="1" applyFont="1" applyFill="1" applyBorder="1" applyAlignment="1" applyProtection="1">
      <alignment vertical="center"/>
    </xf>
    <xf numFmtId="167" fontId="9" fillId="15" borderId="29" xfId="5" applyNumberFormat="1" applyFont="1" applyFill="1" applyBorder="1" applyAlignment="1" applyProtection="1">
      <alignment vertical="center"/>
    </xf>
    <xf numFmtId="167" fontId="9" fillId="15" borderId="8" xfId="5" applyNumberFormat="1" applyFont="1" applyFill="1" applyBorder="1" applyAlignment="1" applyProtection="1">
      <alignment vertical="center"/>
    </xf>
    <xf numFmtId="0" fontId="2" fillId="14" borderId="3" xfId="5" applyFill="1" applyBorder="1" applyAlignment="1" applyProtection="1">
      <alignment vertical="center"/>
    </xf>
    <xf numFmtId="49" fontId="2" fillId="14" borderId="13" xfId="5" applyNumberFormat="1" applyFill="1" applyBorder="1" applyAlignment="1" applyProtection="1">
      <alignment vertical="center"/>
    </xf>
    <xf numFmtId="167" fontId="2" fillId="14" borderId="13" xfId="5" applyNumberFormat="1" applyFill="1" applyBorder="1" applyAlignment="1" applyProtection="1">
      <alignment horizontal="center" vertical="center"/>
    </xf>
    <xf numFmtId="1" fontId="2" fillId="23" borderId="13" xfId="5" applyNumberFormat="1" applyFill="1" applyBorder="1" applyAlignment="1" applyProtection="1">
      <alignment horizontal="center" vertical="center"/>
    </xf>
    <xf numFmtId="1" fontId="2" fillId="14" borderId="13" xfId="5" applyNumberFormat="1" applyFill="1" applyBorder="1" applyAlignment="1" applyProtection="1">
      <alignment horizontal="center" vertical="center"/>
    </xf>
    <xf numFmtId="167" fontId="2" fillId="14" borderId="13" xfId="5" applyNumberFormat="1" applyFill="1" applyBorder="1" applyAlignment="1" applyProtection="1">
      <alignment vertical="center"/>
    </xf>
    <xf numFmtId="167" fontId="2" fillId="14" borderId="45" xfId="5" applyNumberFormat="1" applyFill="1" applyBorder="1" applyAlignment="1" applyProtection="1">
      <alignment vertical="center"/>
    </xf>
    <xf numFmtId="0" fontId="20" fillId="14" borderId="106" xfId="5" applyFont="1" applyFill="1" applyBorder="1" applyAlignment="1" applyProtection="1">
      <alignment vertical="center"/>
    </xf>
    <xf numFmtId="0" fontId="20" fillId="14" borderId="107" xfId="5" applyFont="1" applyFill="1" applyBorder="1" applyAlignment="1" applyProtection="1">
      <alignment vertical="center"/>
    </xf>
    <xf numFmtId="0" fontId="20" fillId="23" borderId="107" xfId="5" applyFont="1" applyFill="1" applyBorder="1" applyAlignment="1" applyProtection="1">
      <alignment vertical="center"/>
    </xf>
    <xf numFmtId="0" fontId="20" fillId="14" borderId="108" xfId="5" applyFont="1" applyFill="1" applyBorder="1" applyAlignment="1" applyProtection="1">
      <alignment vertical="center"/>
    </xf>
    <xf numFmtId="0" fontId="0" fillId="14" borderId="1" xfId="0" applyFill="1" applyBorder="1" applyProtection="1"/>
    <xf numFmtId="0" fontId="9" fillId="14" borderId="2" xfId="0" applyFont="1" applyFill="1" applyBorder="1" applyAlignment="1" applyProtection="1">
      <alignment horizontal="left" vertical="center"/>
    </xf>
    <xf numFmtId="0" fontId="9" fillId="14" borderId="2" xfId="0" applyFont="1" applyFill="1" applyBorder="1" applyProtection="1"/>
    <xf numFmtId="0" fontId="0" fillId="14" borderId="2" xfId="0" applyFill="1" applyBorder="1" applyAlignment="1" applyProtection="1">
      <alignment horizontal="center"/>
    </xf>
    <xf numFmtId="0" fontId="0" fillId="14" borderId="7" xfId="0" applyFill="1" applyBorder="1" applyProtection="1"/>
    <xf numFmtId="0" fontId="0" fillId="14" borderId="3" xfId="0" applyFill="1" applyBorder="1" applyProtection="1"/>
    <xf numFmtId="0" fontId="9" fillId="6" borderId="59" xfId="0" applyFont="1" applyFill="1" applyBorder="1" applyAlignment="1" applyProtection="1">
      <alignment horizontal="center" vertical="center" wrapText="1"/>
    </xf>
    <xf numFmtId="0" fontId="55" fillId="6" borderId="59" xfId="0" applyFont="1" applyFill="1" applyBorder="1" applyAlignment="1" applyProtection="1">
      <alignment horizontal="center" vertical="center" wrapText="1"/>
    </xf>
    <xf numFmtId="0" fontId="9" fillId="6" borderId="121" xfId="0" applyFont="1" applyFill="1" applyBorder="1" applyAlignment="1" applyProtection="1">
      <alignment horizontal="center" vertical="center" wrapText="1"/>
    </xf>
    <xf numFmtId="0" fontId="0" fillId="14" borderId="8" xfId="0" applyFill="1" applyBorder="1" applyProtection="1"/>
    <xf numFmtId="165" fontId="9" fillId="6" borderId="76" xfId="7" applyNumberFormat="1" applyFont="1" applyFill="1" applyBorder="1" applyAlignment="1" applyProtection="1">
      <alignment horizontal="center"/>
    </xf>
    <xf numFmtId="165" fontId="9" fillId="6" borderId="32" xfId="7" applyNumberFormat="1" applyFont="1" applyFill="1" applyBorder="1" applyAlignment="1" applyProtection="1">
      <alignment horizontal="center"/>
    </xf>
    <xf numFmtId="165" fontId="9" fillId="6" borderId="72" xfId="7" applyNumberFormat="1" applyFont="1" applyFill="1" applyBorder="1" applyAlignment="1" applyProtection="1">
      <alignment horizontal="center"/>
    </xf>
    <xf numFmtId="0" fontId="9" fillId="6" borderId="13" xfId="0" applyFont="1" applyFill="1" applyBorder="1" applyAlignment="1" applyProtection="1">
      <alignment horizontal="center"/>
    </xf>
    <xf numFmtId="168" fontId="13" fillId="6" borderId="13" xfId="0" applyNumberFormat="1" applyFont="1" applyFill="1" applyBorder="1" applyAlignment="1" applyProtection="1">
      <alignment horizontal="center"/>
    </xf>
    <xf numFmtId="168" fontId="13" fillId="6" borderId="45" xfId="0" applyNumberFormat="1" applyFont="1" applyFill="1" applyBorder="1" applyAlignment="1" applyProtection="1">
      <alignment horizontal="center"/>
    </xf>
    <xf numFmtId="0" fontId="9" fillId="14" borderId="0" xfId="0" applyFont="1" applyFill="1" applyAlignment="1" applyProtection="1">
      <alignment horizontal="left" vertical="center"/>
    </xf>
    <xf numFmtId="0" fontId="9" fillId="14" borderId="0" xfId="0" applyFont="1" applyFill="1" applyProtection="1"/>
    <xf numFmtId="0" fontId="9" fillId="15" borderId="128" xfId="0" applyFont="1" applyFill="1" applyBorder="1" applyAlignment="1" applyProtection="1">
      <alignment horizontal="left" vertical="center"/>
    </xf>
    <xf numFmtId="0" fontId="13" fillId="15" borderId="129" xfId="0" applyFont="1" applyFill="1" applyBorder="1" applyProtection="1"/>
    <xf numFmtId="0" fontId="13" fillId="15" borderId="130" xfId="0" applyFont="1" applyFill="1" applyBorder="1" applyAlignment="1" applyProtection="1">
      <alignment horizontal="center"/>
    </xf>
    <xf numFmtId="0" fontId="9" fillId="15" borderId="10" xfId="0" applyFont="1" applyFill="1" applyBorder="1" applyAlignment="1" applyProtection="1">
      <alignment horizontal="left" vertical="center"/>
    </xf>
    <xf numFmtId="0" fontId="13" fillId="15" borderId="29" xfId="0" applyFont="1" applyFill="1" applyBorder="1" applyProtection="1"/>
    <xf numFmtId="0" fontId="13" fillId="15" borderId="9" xfId="0" applyFont="1" applyFill="1" applyBorder="1" applyAlignment="1" applyProtection="1">
      <alignment horizontal="center"/>
    </xf>
    <xf numFmtId="2" fontId="13" fillId="15" borderId="9" xfId="0" applyNumberFormat="1" applyFont="1" applyFill="1" applyBorder="1" applyAlignment="1" applyProtection="1">
      <alignment horizontal="center"/>
    </xf>
    <xf numFmtId="1" fontId="13" fillId="15" borderId="9" xfId="0" applyNumberFormat="1" applyFont="1" applyFill="1" applyBorder="1" applyAlignment="1" applyProtection="1">
      <alignment horizontal="center"/>
    </xf>
    <xf numFmtId="0" fontId="9" fillId="15" borderId="29" xfId="0" applyFont="1" applyFill="1" applyBorder="1" applyProtection="1"/>
    <xf numFmtId="0" fontId="9" fillId="15" borderId="9" xfId="0" applyFont="1" applyFill="1" applyBorder="1" applyAlignment="1" applyProtection="1">
      <alignment horizontal="center"/>
    </xf>
    <xf numFmtId="0" fontId="9" fillId="15" borderId="9" xfId="0" applyFont="1" applyFill="1" applyBorder="1" applyProtection="1"/>
    <xf numFmtId="165" fontId="9" fillId="15" borderId="9" xfId="0" applyNumberFormat="1" applyFont="1" applyFill="1" applyBorder="1" applyAlignment="1" applyProtection="1">
      <alignment horizontal="center"/>
    </xf>
    <xf numFmtId="2" fontId="9" fillId="15" borderId="9" xfId="0" applyNumberFormat="1" applyFont="1" applyFill="1" applyBorder="1" applyAlignment="1" applyProtection="1">
      <alignment horizontal="center"/>
    </xf>
    <xf numFmtId="1" fontId="9" fillId="15" borderId="9" xfId="0" applyNumberFormat="1" applyFont="1" applyFill="1" applyBorder="1" applyAlignment="1" applyProtection="1">
      <alignment horizontal="center"/>
    </xf>
    <xf numFmtId="9" fontId="9" fillId="15" borderId="9" xfId="2" applyNumberFormat="1" applyFont="1" applyFill="1" applyBorder="1" applyAlignment="1" applyProtection="1">
      <alignment horizontal="center"/>
    </xf>
    <xf numFmtId="9" fontId="9" fillId="15" borderId="9" xfId="2" applyFont="1" applyFill="1" applyBorder="1" applyAlignment="1" applyProtection="1">
      <alignment horizontal="center"/>
    </xf>
    <xf numFmtId="0" fontId="54" fillId="15" borderId="29" xfId="0" applyFont="1" applyFill="1" applyBorder="1" applyProtection="1"/>
    <xf numFmtId="0" fontId="9" fillId="15" borderId="14" xfId="0" applyFont="1" applyFill="1" applyBorder="1" applyAlignment="1" applyProtection="1">
      <alignment horizontal="left" vertical="center"/>
    </xf>
    <xf numFmtId="0" fontId="9" fillId="15" borderId="45" xfId="0" applyFont="1" applyFill="1" applyBorder="1" applyProtection="1"/>
    <xf numFmtId="0" fontId="9" fillId="15" borderId="12" xfId="0" applyFont="1" applyFill="1" applyBorder="1" applyAlignment="1" applyProtection="1">
      <alignment horizontal="center"/>
    </xf>
    <xf numFmtId="165" fontId="9" fillId="15" borderId="12" xfId="0" applyNumberFormat="1" applyFont="1" applyFill="1" applyBorder="1" applyAlignment="1" applyProtection="1">
      <alignment horizontal="center"/>
    </xf>
    <xf numFmtId="0" fontId="0" fillId="14" borderId="0" xfId="0" applyFill="1" applyAlignment="1" applyProtection="1">
      <alignment horizontal="center"/>
    </xf>
    <xf numFmtId="0" fontId="20" fillId="14" borderId="5" xfId="0" applyFont="1" applyFill="1" applyBorder="1" applyProtection="1"/>
    <xf numFmtId="0" fontId="20" fillId="14" borderId="6" xfId="0" applyFont="1" applyFill="1" applyBorder="1" applyAlignment="1" applyProtection="1">
      <alignment horizontal="left" vertical="center"/>
    </xf>
    <xf numFmtId="0" fontId="20" fillId="14" borderId="6" xfId="0" applyFont="1" applyFill="1" applyBorder="1" applyProtection="1"/>
    <xf numFmtId="0" fontId="13" fillId="8" borderId="6" xfId="0" applyFont="1" applyFill="1" applyBorder="1" applyAlignment="1" applyProtection="1">
      <alignment horizontal="center" vertical="center"/>
    </xf>
    <xf numFmtId="0" fontId="13" fillId="8" borderId="6" xfId="0" applyFont="1" applyFill="1" applyBorder="1" applyAlignment="1" applyProtection="1">
      <alignment horizontal="right" vertical="center"/>
    </xf>
    <xf numFmtId="0" fontId="13" fillId="8" borderId="6" xfId="0" applyFont="1" applyFill="1" applyBorder="1" applyAlignment="1" applyProtection="1">
      <alignment horizontal="left" vertical="center"/>
    </xf>
    <xf numFmtId="0" fontId="20" fillId="14" borderId="26" xfId="0" applyFont="1" applyFill="1" applyBorder="1" applyProtection="1"/>
    <xf numFmtId="0" fontId="7" fillId="14" borderId="1" xfId="7" applyFont="1" applyFill="1" applyBorder="1" applyAlignment="1" applyProtection="1">
      <alignment horizontal="centerContinuous"/>
    </xf>
    <xf numFmtId="0" fontId="24" fillId="14" borderId="2" xfId="7" applyFont="1" applyFill="1" applyBorder="1" applyAlignment="1" applyProtection="1">
      <alignment horizontal="centerContinuous"/>
    </xf>
    <xf numFmtId="0" fontId="4" fillId="14" borderId="2" xfId="7" applyFont="1" applyFill="1" applyBorder="1" applyAlignment="1" applyProtection="1">
      <alignment horizontal="centerContinuous"/>
    </xf>
    <xf numFmtId="0" fontId="4" fillId="14" borderId="7" xfId="7" applyFont="1" applyFill="1" applyBorder="1" applyAlignment="1" applyProtection="1">
      <alignment horizontal="centerContinuous"/>
    </xf>
    <xf numFmtId="0" fontId="4" fillId="14" borderId="3" xfId="7" applyFont="1" applyFill="1" applyBorder="1" applyProtection="1"/>
    <xf numFmtId="0" fontId="4" fillId="14" borderId="0" xfId="7" applyFont="1" applyFill="1" applyProtection="1"/>
    <xf numFmtId="0" fontId="4" fillId="14" borderId="8" xfId="7" applyFont="1" applyFill="1" applyBorder="1" applyProtection="1"/>
    <xf numFmtId="0" fontId="25" fillId="14" borderId="3" xfId="9" applyFont="1" applyFill="1" applyBorder="1" applyProtection="1"/>
    <xf numFmtId="0" fontId="4" fillId="4" borderId="52" xfId="7" applyFont="1" applyFill="1" applyBorder="1" applyAlignment="1" applyProtection="1">
      <alignment vertical="top"/>
    </xf>
    <xf numFmtId="0" fontId="9" fillId="12" borderId="39" xfId="7" applyFont="1" applyFill="1" applyBorder="1" applyAlignment="1" applyProtection="1">
      <alignment horizontal="center" vertical="top"/>
    </xf>
    <xf numFmtId="0" fontId="9" fillId="12" borderId="40" xfId="7" applyFont="1" applyFill="1" applyBorder="1" applyAlignment="1" applyProtection="1">
      <alignment horizontal="center" vertical="top" wrapText="1"/>
    </xf>
    <xf numFmtId="0" fontId="9" fillId="12" borderId="41" xfId="7" applyFont="1" applyFill="1" applyBorder="1" applyAlignment="1" applyProtection="1">
      <alignment horizontal="center" vertical="top"/>
    </xf>
    <xf numFmtId="0" fontId="9" fillId="12" borderId="39" xfId="7" applyFont="1" applyFill="1" applyBorder="1" applyAlignment="1" applyProtection="1">
      <alignment horizontal="left" vertical="top"/>
    </xf>
    <xf numFmtId="0" fontId="9" fillId="12" borderId="42" xfId="7" applyFont="1" applyFill="1" applyBorder="1" applyAlignment="1" applyProtection="1">
      <alignment horizontal="center" vertical="top"/>
    </xf>
    <xf numFmtId="0" fontId="9" fillId="12" borderId="43" xfId="7" applyFont="1" applyFill="1" applyBorder="1" applyAlignment="1" applyProtection="1">
      <alignment horizontal="center" vertical="top"/>
    </xf>
    <xf numFmtId="0" fontId="9" fillId="14" borderId="0" xfId="7" applyFont="1" applyFill="1" applyAlignment="1" applyProtection="1">
      <alignment horizontal="center" vertical="top"/>
    </xf>
    <xf numFmtId="0" fontId="9" fillId="14" borderId="0" xfId="7" applyFont="1" applyFill="1" applyAlignment="1" applyProtection="1">
      <alignment vertical="top"/>
    </xf>
    <xf numFmtId="0" fontId="4" fillId="14" borderId="0" xfId="7" applyFont="1" applyFill="1" applyAlignment="1" applyProtection="1">
      <alignment vertical="top"/>
    </xf>
    <xf numFmtId="0" fontId="4" fillId="14" borderId="8" xfId="7" applyFont="1" applyFill="1" applyBorder="1" applyAlignment="1" applyProtection="1">
      <alignment vertical="top"/>
    </xf>
    <xf numFmtId="0" fontId="4" fillId="4" borderId="53" xfId="7" applyFont="1" applyFill="1" applyBorder="1" applyProtection="1"/>
    <xf numFmtId="0" fontId="9" fillId="12" borderId="44" xfId="7" applyFont="1" applyFill="1" applyBorder="1" applyAlignment="1" applyProtection="1">
      <alignment horizontal="center"/>
    </xf>
    <xf numFmtId="0" fontId="9" fillId="12" borderId="45" xfId="7" applyFont="1" applyFill="1" applyBorder="1" applyAlignment="1" applyProtection="1">
      <alignment horizontal="center" wrapText="1"/>
    </xf>
    <xf numFmtId="0" fontId="9" fillId="12" borderId="46" xfId="7" applyFont="1" applyFill="1" applyBorder="1" applyAlignment="1" applyProtection="1">
      <alignment horizontal="center"/>
    </xf>
    <xf numFmtId="0" fontId="9" fillId="12" borderId="45" xfId="7" applyFont="1" applyFill="1" applyBorder="1" applyAlignment="1" applyProtection="1">
      <alignment horizontal="center"/>
    </xf>
    <xf numFmtId="0" fontId="13" fillId="12" borderId="31" xfId="7" applyFont="1" applyFill="1" applyBorder="1" applyAlignment="1" applyProtection="1">
      <alignment horizontal="centerContinuous"/>
    </xf>
    <xf numFmtId="0" fontId="9" fillId="12" borderId="4" xfId="7" applyFont="1" applyFill="1" applyBorder="1" applyAlignment="1" applyProtection="1">
      <alignment horizontal="centerContinuous"/>
    </xf>
    <xf numFmtId="0" fontId="9" fillId="12" borderId="27" xfId="7" applyFont="1" applyFill="1" applyBorder="1" applyAlignment="1" applyProtection="1">
      <alignment horizontal="centerContinuous"/>
    </xf>
    <xf numFmtId="0" fontId="9" fillId="12" borderId="15" xfId="7" applyFont="1" applyFill="1" applyBorder="1" applyAlignment="1" applyProtection="1">
      <alignment horizontal="centerContinuous"/>
    </xf>
    <xf numFmtId="0" fontId="4" fillId="2" borderId="0" xfId="7" applyFont="1" applyFill="1" applyProtection="1"/>
    <xf numFmtId="0" fontId="9" fillId="12" borderId="47" xfId="7" applyFont="1" applyFill="1" applyBorder="1" applyAlignment="1" applyProtection="1">
      <alignment horizontal="center"/>
    </xf>
    <xf numFmtId="0" fontId="9" fillId="12" borderId="48" xfId="7" applyFont="1" applyFill="1" applyBorder="1" applyAlignment="1" applyProtection="1">
      <alignment horizontal="center"/>
    </xf>
    <xf numFmtId="0" fontId="9" fillId="12" borderId="49" xfId="7" applyFont="1" applyFill="1" applyBorder="1" applyAlignment="1" applyProtection="1">
      <alignment horizontal="center"/>
    </xf>
    <xf numFmtId="0" fontId="9" fillId="12" borderId="50" xfId="7" applyFont="1" applyFill="1" applyBorder="1" applyAlignment="1" applyProtection="1">
      <alignment horizontal="center"/>
    </xf>
    <xf numFmtId="0" fontId="9" fillId="12" borderId="32" xfId="7" applyFont="1" applyFill="1" applyBorder="1" applyAlignment="1" applyProtection="1">
      <alignment horizontal="center"/>
    </xf>
    <xf numFmtId="0" fontId="9" fillId="12" borderId="20" xfId="7" applyFont="1" applyFill="1" applyBorder="1" applyAlignment="1" applyProtection="1">
      <alignment horizontal="center"/>
    </xf>
    <xf numFmtId="0" fontId="9" fillId="12" borderId="23" xfId="7" applyFont="1" applyFill="1" applyBorder="1" applyAlignment="1" applyProtection="1">
      <alignment horizontal="center"/>
    </xf>
    <xf numFmtId="0" fontId="4" fillId="14" borderId="8" xfId="7" applyFont="1" applyFill="1" applyBorder="1" applyAlignment="1" applyProtection="1">
      <alignment horizontal="center"/>
    </xf>
    <xf numFmtId="0" fontId="4" fillId="2" borderId="0" xfId="7" applyFont="1" applyFill="1" applyAlignment="1" applyProtection="1">
      <alignment horizontal="center"/>
    </xf>
    <xf numFmtId="1" fontId="9" fillId="12" borderId="48" xfId="7" applyNumberFormat="1" applyFont="1" applyFill="1" applyBorder="1" applyAlignment="1" applyProtection="1">
      <alignment horizontal="center"/>
    </xf>
    <xf numFmtId="0" fontId="9" fillId="12" borderId="25" xfId="7" applyFont="1" applyFill="1" applyBorder="1" applyAlignment="1" applyProtection="1">
      <alignment horizontal="center"/>
    </xf>
    <xf numFmtId="165" fontId="9" fillId="12" borderId="48" xfId="7" applyNumberFormat="1" applyFont="1" applyFill="1" applyBorder="1" applyAlignment="1" applyProtection="1">
      <alignment horizontal="center"/>
    </xf>
    <xf numFmtId="165" fontId="9" fillId="14" borderId="0" xfId="7" applyNumberFormat="1" applyFont="1" applyFill="1" applyAlignment="1" applyProtection="1">
      <alignment horizontal="center"/>
    </xf>
    <xf numFmtId="0" fontId="9" fillId="12" borderId="34" xfId="7" applyFont="1" applyFill="1" applyBorder="1" applyAlignment="1" applyProtection="1">
      <alignment horizontal="center"/>
    </xf>
    <xf numFmtId="0" fontId="9" fillId="12" borderId="16" xfId="7" applyFont="1" applyFill="1" applyBorder="1" applyAlignment="1" applyProtection="1">
      <alignment horizontal="center"/>
    </xf>
    <xf numFmtId="0" fontId="9" fillId="12" borderId="18" xfId="7" applyFont="1" applyFill="1" applyBorder="1" applyAlignment="1" applyProtection="1">
      <alignment horizontal="center"/>
    </xf>
    <xf numFmtId="0" fontId="9" fillId="14" borderId="0" xfId="7" applyFont="1" applyFill="1" applyAlignment="1" applyProtection="1">
      <alignment horizontal="centerContinuous" wrapText="1"/>
    </xf>
    <xf numFmtId="0" fontId="9" fillId="14" borderId="0" xfId="7" applyFont="1" applyFill="1" applyAlignment="1" applyProtection="1">
      <alignment vertical="center"/>
    </xf>
    <xf numFmtId="165" fontId="13" fillId="12" borderId="51" xfId="7" applyNumberFormat="1" applyFont="1" applyFill="1" applyBorder="1" applyAlignment="1" applyProtection="1">
      <alignment horizontal="center" vertical="center"/>
    </xf>
    <xf numFmtId="165" fontId="9" fillId="12" borderId="36" xfId="7" applyNumberFormat="1" applyFont="1" applyFill="1" applyBorder="1" applyAlignment="1" applyProtection="1">
      <alignment horizontal="center" vertical="center"/>
    </xf>
    <xf numFmtId="165" fontId="9" fillId="12" borderId="21" xfId="7" applyNumberFormat="1" applyFont="1" applyFill="1" applyBorder="1" applyAlignment="1" applyProtection="1">
      <alignment horizontal="center" vertical="center"/>
    </xf>
    <xf numFmtId="165" fontId="9" fillId="12" borderId="27" xfId="7" applyNumberFormat="1" applyFont="1" applyFill="1" applyBorder="1" applyAlignment="1" applyProtection="1">
      <alignment horizontal="center" vertical="center"/>
    </xf>
    <xf numFmtId="165" fontId="9" fillId="12" borderId="15" xfId="7" applyNumberFormat="1" applyFont="1" applyFill="1" applyBorder="1" applyAlignment="1" applyProtection="1">
      <alignment horizontal="center" vertical="center"/>
    </xf>
    <xf numFmtId="0" fontId="7" fillId="14" borderId="0" xfId="7" applyFont="1" applyFill="1" applyAlignment="1" applyProtection="1">
      <alignment horizontal="left"/>
    </xf>
    <xf numFmtId="0" fontId="26" fillId="14" borderId="0" xfId="7" applyFont="1" applyFill="1" applyAlignment="1" applyProtection="1">
      <alignment horizontal="right"/>
    </xf>
    <xf numFmtId="0" fontId="9" fillId="14" borderId="0" xfId="7" applyFont="1" applyFill="1" applyAlignment="1" applyProtection="1">
      <alignment horizontal="right"/>
    </xf>
    <xf numFmtId="1" fontId="27" fillId="12" borderId="44" xfId="7" applyNumberFormat="1" applyFont="1" applyFill="1" applyBorder="1" applyAlignment="1" applyProtection="1">
      <alignment horizontal="center"/>
    </xf>
    <xf numFmtId="1" fontId="27" fillId="12" borderId="12" xfId="7" applyNumberFormat="1" applyFont="1" applyFill="1" applyBorder="1" applyAlignment="1" applyProtection="1">
      <alignment horizontal="center"/>
    </xf>
    <xf numFmtId="1" fontId="27" fillId="12" borderId="45" xfId="7" applyNumberFormat="1" applyFont="1" applyFill="1" applyBorder="1" applyAlignment="1" applyProtection="1">
      <alignment horizontal="center"/>
    </xf>
    <xf numFmtId="1" fontId="27" fillId="12" borderId="46" xfId="7" applyNumberFormat="1" applyFont="1" applyFill="1" applyBorder="1" applyAlignment="1" applyProtection="1">
      <alignment horizontal="center"/>
    </xf>
    <xf numFmtId="167" fontId="9" fillId="14" borderId="0" xfId="7" applyNumberFormat="1" applyFont="1" applyFill="1" applyAlignment="1" applyProtection="1">
      <alignment horizontal="center"/>
    </xf>
    <xf numFmtId="170" fontId="9" fillId="14" borderId="0" xfId="7" applyNumberFormat="1" applyFont="1" applyFill="1" applyAlignment="1" applyProtection="1">
      <alignment horizontal="center"/>
    </xf>
    <xf numFmtId="0" fontId="15" fillId="14" borderId="0" xfId="8" applyFont="1" applyFill="1" applyProtection="1"/>
    <xf numFmtId="0" fontId="9" fillId="12" borderId="65" xfId="7" applyFont="1" applyFill="1" applyBorder="1" applyAlignment="1" applyProtection="1">
      <alignment horizontal="center"/>
    </xf>
    <xf numFmtId="0" fontId="9" fillId="12" borderId="43" xfId="7" applyFont="1" applyFill="1" applyBorder="1" applyAlignment="1" applyProtection="1">
      <alignment horizontal="center"/>
    </xf>
    <xf numFmtId="0" fontId="4" fillId="14" borderId="8" xfId="7" applyFont="1" applyFill="1" applyBorder="1" applyAlignment="1" applyProtection="1">
      <alignment horizontal="left"/>
    </xf>
    <xf numFmtId="0" fontId="9" fillId="14" borderId="0" xfId="7" applyFont="1" applyFill="1" applyAlignment="1" applyProtection="1">
      <alignment horizontal="left"/>
    </xf>
    <xf numFmtId="1" fontId="27" fillId="12" borderId="55" xfId="7" applyNumberFormat="1" applyFont="1" applyFill="1" applyBorder="1" applyAlignment="1" applyProtection="1">
      <alignment horizontal="center"/>
    </xf>
    <xf numFmtId="0" fontId="4" fillId="14" borderId="0" xfId="7" applyFont="1" applyFill="1" applyAlignment="1" applyProtection="1">
      <alignment horizontal="center"/>
    </xf>
    <xf numFmtId="1" fontId="13" fillId="12" borderId="36" xfId="1" applyNumberFormat="1" applyFont="1" applyFill="1" applyBorder="1" applyAlignment="1" applyProtection="1">
      <alignment horizontal="center" vertical="center"/>
    </xf>
    <xf numFmtId="1" fontId="13" fillId="12" borderId="21" xfId="1" applyNumberFormat="1" applyFont="1" applyFill="1" applyBorder="1" applyAlignment="1" applyProtection="1">
      <alignment horizontal="center" vertical="center"/>
    </xf>
    <xf numFmtId="1" fontId="13" fillId="12" borderId="21" xfId="1" quotePrefix="1" applyNumberFormat="1" applyFont="1" applyFill="1" applyBorder="1" applyAlignment="1" applyProtection="1">
      <alignment horizontal="center" vertical="center"/>
    </xf>
    <xf numFmtId="1" fontId="13" fillId="12" borderId="21" xfId="1" applyNumberFormat="1" applyFont="1" applyFill="1" applyBorder="1" applyAlignment="1" applyProtection="1">
      <alignment horizontal="center" vertical="center" wrapText="1"/>
    </xf>
    <xf numFmtId="1" fontId="13" fillId="12" borderId="27" xfId="1" applyNumberFormat="1" applyFont="1" applyFill="1" applyBorder="1" applyAlignment="1" applyProtection="1">
      <alignment horizontal="center" vertical="center" wrapText="1"/>
    </xf>
    <xf numFmtId="0" fontId="9" fillId="12" borderId="25" xfId="7" applyFont="1" applyFill="1" applyBorder="1" applyAlignment="1" applyProtection="1">
      <alignment horizontal="center" vertical="center"/>
    </xf>
    <xf numFmtId="169" fontId="4" fillId="14" borderId="8" xfId="7" applyNumberFormat="1" applyFont="1" applyFill="1" applyBorder="1" applyAlignment="1" applyProtection="1">
      <alignment horizontal="center"/>
    </xf>
    <xf numFmtId="0" fontId="9" fillId="14" borderId="4" xfId="7" applyFont="1" applyFill="1" applyBorder="1" applyProtection="1"/>
    <xf numFmtId="0" fontId="9" fillId="14" borderId="28" xfId="7" applyFont="1" applyFill="1" applyBorder="1" applyProtection="1"/>
    <xf numFmtId="0" fontId="4" fillId="14" borderId="35" xfId="7" applyFont="1" applyFill="1" applyBorder="1" applyAlignment="1" applyProtection="1">
      <alignment horizontal="left"/>
    </xf>
    <xf numFmtId="0" fontId="9" fillId="12" borderId="31" xfId="7" applyFont="1" applyFill="1" applyBorder="1" applyProtection="1"/>
    <xf numFmtId="0" fontId="9" fillId="12" borderId="31" xfId="7" applyFont="1" applyFill="1" applyBorder="1" applyAlignment="1" applyProtection="1">
      <alignment horizontal="center"/>
    </xf>
    <xf numFmtId="0" fontId="9" fillId="12" borderId="4" xfId="7" applyFont="1" applyFill="1" applyBorder="1" applyAlignment="1" applyProtection="1">
      <alignment horizontal="center"/>
    </xf>
    <xf numFmtId="0" fontId="13" fillId="12" borderId="4" xfId="7" applyFont="1" applyFill="1" applyBorder="1" applyAlignment="1" applyProtection="1">
      <alignment horizontal="center"/>
    </xf>
    <xf numFmtId="0" fontId="9" fillId="12" borderId="15" xfId="7" applyFont="1" applyFill="1" applyBorder="1" applyAlignment="1" applyProtection="1">
      <alignment horizontal="center"/>
    </xf>
    <xf numFmtId="0" fontId="9" fillId="12" borderId="32" xfId="7" applyFont="1" applyFill="1" applyBorder="1" applyAlignment="1" applyProtection="1">
      <alignment horizontal="center" wrapText="1"/>
    </xf>
    <xf numFmtId="0" fontId="9" fillId="12" borderId="20" xfId="7" applyFont="1" applyFill="1" applyBorder="1" applyAlignment="1" applyProtection="1">
      <alignment horizontal="center" wrapText="1"/>
    </xf>
    <xf numFmtId="0" fontId="9" fillId="12" borderId="33" xfId="7" applyFont="1" applyFill="1" applyBorder="1" applyAlignment="1" applyProtection="1">
      <alignment horizontal="center" wrapText="1"/>
    </xf>
    <xf numFmtId="0" fontId="9" fillId="12" borderId="76" xfId="7" applyFont="1" applyFill="1" applyBorder="1" applyAlignment="1" applyProtection="1">
      <alignment horizontal="center" wrapText="1"/>
    </xf>
    <xf numFmtId="0" fontId="9" fillId="12" borderId="74" xfId="7" applyFont="1" applyFill="1" applyBorder="1" applyAlignment="1" applyProtection="1">
      <alignment horizontal="center" wrapText="1"/>
    </xf>
    <xf numFmtId="0" fontId="9" fillId="12" borderId="65" xfId="7" applyFont="1" applyFill="1" applyBorder="1" applyAlignment="1" applyProtection="1">
      <alignment horizontal="center" wrapText="1"/>
    </xf>
    <xf numFmtId="0" fontId="9" fillId="12" borderId="43" xfId="7" applyFont="1" applyFill="1" applyBorder="1" applyAlignment="1" applyProtection="1">
      <alignment horizontal="center" wrapText="1"/>
    </xf>
    <xf numFmtId="0" fontId="4" fillId="14" borderId="8" xfId="7" applyFont="1" applyFill="1" applyBorder="1" applyAlignment="1" applyProtection="1">
      <alignment horizontal="center" wrapText="1"/>
    </xf>
    <xf numFmtId="0" fontId="4" fillId="2" borderId="0" xfId="7" applyFont="1" applyFill="1" applyAlignment="1" applyProtection="1">
      <alignment horizontal="left"/>
    </xf>
    <xf numFmtId="0" fontId="9" fillId="12" borderId="52" xfId="7" applyFont="1" applyFill="1" applyBorder="1" applyProtection="1"/>
    <xf numFmtId="0" fontId="9" fillId="12" borderId="68" xfId="7" applyFont="1" applyFill="1" applyBorder="1" applyAlignment="1" applyProtection="1">
      <alignment horizontal="center"/>
    </xf>
    <xf numFmtId="0" fontId="9" fillId="12" borderId="60" xfId="7" applyFont="1" applyFill="1" applyBorder="1" applyAlignment="1" applyProtection="1">
      <alignment horizontal="center"/>
    </xf>
    <xf numFmtId="0" fontId="9" fillId="12" borderId="61" xfId="7" applyFont="1" applyFill="1" applyBorder="1" applyAlignment="1" applyProtection="1">
      <alignment horizontal="center"/>
    </xf>
    <xf numFmtId="0" fontId="9" fillId="12" borderId="126" xfId="7" applyFont="1" applyFill="1" applyBorder="1" applyAlignment="1" applyProtection="1">
      <alignment horizontal="center"/>
    </xf>
    <xf numFmtId="0" fontId="9" fillId="12" borderId="125" xfId="7" applyFont="1" applyFill="1" applyBorder="1" applyAlignment="1" applyProtection="1">
      <alignment horizontal="center"/>
    </xf>
    <xf numFmtId="0" fontId="9" fillId="12" borderId="75" xfId="7" applyFont="1" applyFill="1" applyBorder="1" applyAlignment="1" applyProtection="1">
      <alignment horizontal="center"/>
    </xf>
    <xf numFmtId="0" fontId="9" fillId="12" borderId="67" xfId="7" applyFont="1" applyFill="1" applyBorder="1" applyAlignment="1" applyProtection="1">
      <alignment horizontal="center"/>
    </xf>
    <xf numFmtId="0" fontId="9" fillId="12" borderId="78" xfId="7" applyFont="1" applyFill="1" applyBorder="1" applyAlignment="1" applyProtection="1">
      <alignment horizontal="center"/>
    </xf>
    <xf numFmtId="170" fontId="7" fillId="4" borderId="33" xfId="7" applyNumberFormat="1" applyFont="1" applyFill="1" applyBorder="1" applyProtection="1"/>
    <xf numFmtId="170" fontId="9" fillId="15" borderId="33" xfId="7" applyNumberFormat="1" applyFont="1" applyFill="1" applyBorder="1" applyAlignment="1" applyProtection="1">
      <alignment horizontal="left"/>
    </xf>
    <xf numFmtId="165" fontId="9" fillId="15" borderId="76" xfId="7" applyNumberFormat="1" applyFont="1" applyFill="1" applyBorder="1" applyAlignment="1" applyProtection="1">
      <alignment horizontal="center"/>
    </xf>
    <xf numFmtId="165" fontId="9" fillId="15" borderId="32" xfId="7" applyNumberFormat="1" applyFont="1" applyFill="1" applyBorder="1" applyAlignment="1" applyProtection="1">
      <alignment horizontal="center"/>
    </xf>
    <xf numFmtId="165" fontId="9" fillId="15" borderId="20" xfId="7" applyNumberFormat="1" applyFont="1" applyFill="1" applyBorder="1" applyAlignment="1" applyProtection="1">
      <alignment horizontal="center"/>
    </xf>
    <xf numFmtId="165" fontId="9" fillId="15" borderId="33" xfId="7" applyNumberFormat="1" applyFont="1" applyFill="1" applyBorder="1" applyAlignment="1" applyProtection="1">
      <alignment horizontal="center"/>
    </xf>
    <xf numFmtId="2" fontId="13" fillId="15" borderId="76" xfId="7" applyNumberFormat="1" applyFont="1" applyFill="1" applyBorder="1" applyAlignment="1" applyProtection="1">
      <alignment horizontal="center"/>
    </xf>
    <xf numFmtId="165" fontId="9" fillId="15" borderId="65" xfId="7" applyNumberFormat="1" applyFont="1" applyFill="1" applyBorder="1" applyAlignment="1" applyProtection="1">
      <alignment horizontal="center"/>
    </xf>
    <xf numFmtId="165" fontId="9" fillId="15" borderId="120" xfId="7" applyNumberFormat="1" applyFont="1" applyFill="1" applyBorder="1" applyAlignment="1" applyProtection="1">
      <alignment horizontal="center"/>
    </xf>
    <xf numFmtId="170" fontId="9" fillId="15" borderId="22" xfId="7" applyNumberFormat="1" applyFont="1" applyFill="1" applyBorder="1" applyAlignment="1" applyProtection="1">
      <alignment horizontal="left"/>
    </xf>
    <xf numFmtId="165" fontId="9" fillId="15" borderId="74" xfId="7" applyNumberFormat="1" applyFont="1" applyFill="1" applyBorder="1" applyAlignment="1" applyProtection="1">
      <alignment horizontal="center"/>
    </xf>
    <xf numFmtId="165" fontId="9" fillId="15" borderId="37" xfId="7" applyNumberFormat="1" applyFont="1" applyFill="1" applyBorder="1" applyAlignment="1" applyProtection="1">
      <alignment horizontal="center"/>
    </xf>
    <xf numFmtId="165" fontId="9" fillId="15" borderId="19" xfId="7" applyNumberFormat="1" applyFont="1" applyFill="1" applyBorder="1" applyAlignment="1" applyProtection="1">
      <alignment horizontal="center"/>
    </xf>
    <xf numFmtId="165" fontId="9" fillId="15" borderId="119" xfId="7" applyNumberFormat="1" applyFont="1" applyFill="1" applyBorder="1" applyAlignment="1" applyProtection="1">
      <alignment horizontal="center"/>
    </xf>
    <xf numFmtId="165" fontId="9" fillId="15" borderId="22" xfId="7" applyNumberFormat="1" applyFont="1" applyFill="1" applyBorder="1" applyAlignment="1" applyProtection="1">
      <alignment horizontal="center"/>
    </xf>
    <xf numFmtId="2" fontId="13" fillId="15" borderId="74" xfId="7" applyNumberFormat="1" applyFont="1" applyFill="1" applyBorder="1" applyAlignment="1" applyProtection="1">
      <alignment horizontal="center"/>
    </xf>
    <xf numFmtId="165" fontId="9" fillId="15" borderId="66" xfId="7" applyNumberFormat="1" applyFont="1" applyFill="1" applyBorder="1" applyAlignment="1" applyProtection="1">
      <alignment horizontal="center"/>
    </xf>
    <xf numFmtId="170" fontId="9" fillId="15" borderId="17" xfId="7" applyNumberFormat="1" applyFont="1" applyFill="1" applyBorder="1" applyAlignment="1" applyProtection="1">
      <alignment horizontal="left"/>
    </xf>
    <xf numFmtId="165" fontId="9" fillId="15" borderId="75" xfId="7" applyNumberFormat="1" applyFont="1" applyFill="1" applyBorder="1" applyAlignment="1" applyProtection="1">
      <alignment horizontal="center"/>
    </xf>
    <xf numFmtId="165" fontId="9" fillId="15" borderId="47" xfId="7" applyNumberFormat="1" applyFont="1" applyFill="1" applyBorder="1" applyAlignment="1" applyProtection="1">
      <alignment horizontal="center"/>
    </xf>
    <xf numFmtId="165" fontId="9" fillId="15" borderId="50" xfId="7" applyNumberFormat="1" applyFont="1" applyFill="1" applyBorder="1" applyAlignment="1" applyProtection="1">
      <alignment horizontal="center"/>
    </xf>
    <xf numFmtId="165" fontId="9" fillId="15" borderId="17" xfId="7" applyNumberFormat="1" applyFont="1" applyFill="1" applyBorder="1" applyAlignment="1" applyProtection="1">
      <alignment horizontal="center"/>
    </xf>
    <xf numFmtId="2" fontId="13" fillId="15" borderId="75" xfId="7" applyNumberFormat="1" applyFont="1" applyFill="1" applyBorder="1" applyAlignment="1" applyProtection="1">
      <alignment horizontal="center"/>
    </xf>
    <xf numFmtId="165" fontId="9" fillId="15" borderId="16" xfId="7" applyNumberFormat="1" applyFont="1" applyFill="1" applyBorder="1" applyAlignment="1" applyProtection="1">
      <alignment horizontal="center"/>
    </xf>
    <xf numFmtId="165" fontId="9" fillId="15" borderId="18" xfId="7" applyNumberFormat="1" applyFont="1" applyFill="1" applyBorder="1" applyAlignment="1" applyProtection="1">
      <alignment horizontal="center"/>
    </xf>
    <xf numFmtId="165" fontId="13" fillId="15" borderId="51" xfId="7" applyNumberFormat="1" applyFont="1" applyFill="1" applyBorder="1" applyAlignment="1" applyProtection="1">
      <alignment horizontal="center"/>
    </xf>
    <xf numFmtId="165" fontId="9" fillId="15" borderId="36" xfId="7" applyNumberFormat="1" applyFont="1" applyFill="1" applyBorder="1" applyAlignment="1" applyProtection="1">
      <alignment horizontal="center"/>
    </xf>
    <xf numFmtId="165" fontId="9" fillId="15" borderId="21" xfId="7" applyNumberFormat="1" applyFont="1" applyFill="1" applyBorder="1" applyAlignment="1" applyProtection="1">
      <alignment horizontal="center"/>
    </xf>
    <xf numFmtId="165" fontId="9" fillId="15" borderId="25" xfId="7" applyNumberFormat="1" applyFont="1" applyFill="1" applyBorder="1" applyAlignment="1" applyProtection="1">
      <alignment horizontal="center"/>
    </xf>
    <xf numFmtId="1" fontId="4" fillId="14" borderId="8" xfId="7" applyNumberFormat="1" applyFont="1" applyFill="1" applyBorder="1" applyAlignment="1" applyProtection="1">
      <alignment horizontal="center"/>
    </xf>
    <xf numFmtId="165" fontId="16" fillId="15" borderId="34" xfId="7" applyNumberFormat="1" applyFont="1" applyFill="1" applyBorder="1" applyAlignment="1" applyProtection="1">
      <alignment horizontal="center"/>
    </xf>
    <xf numFmtId="165" fontId="16" fillId="15" borderId="16" xfId="7" applyNumberFormat="1" applyFont="1" applyFill="1" applyBorder="1" applyAlignment="1" applyProtection="1">
      <alignment horizontal="center"/>
    </xf>
    <xf numFmtId="165" fontId="16" fillId="15" borderId="18" xfId="7" applyNumberFormat="1" applyFont="1" applyFill="1" applyBorder="1" applyAlignment="1" applyProtection="1">
      <alignment horizontal="center"/>
    </xf>
    <xf numFmtId="0" fontId="9" fillId="4" borderId="38" xfId="7" applyFont="1" applyFill="1" applyBorder="1" applyProtection="1"/>
    <xf numFmtId="1" fontId="9" fillId="14" borderId="0" xfId="7" applyNumberFormat="1" applyFont="1" applyFill="1" applyAlignment="1" applyProtection="1">
      <alignment horizontal="center"/>
    </xf>
    <xf numFmtId="2" fontId="9" fillId="14" borderId="0" xfId="7" applyNumberFormat="1" applyFont="1" applyFill="1" applyAlignment="1" applyProtection="1">
      <alignment horizontal="center"/>
    </xf>
    <xf numFmtId="1" fontId="28" fillId="15" borderId="36" xfId="1" applyNumberFormat="1" applyFont="1" applyFill="1" applyBorder="1" applyAlignment="1" applyProtection="1">
      <alignment horizontal="center" vertical="center"/>
    </xf>
    <xf numFmtId="1" fontId="28" fillId="15" borderId="21" xfId="1" applyNumberFormat="1" applyFont="1" applyFill="1" applyBorder="1" applyAlignment="1" applyProtection="1">
      <alignment horizontal="center" vertical="center"/>
    </xf>
    <xf numFmtId="1" fontId="28" fillId="15" borderId="21" xfId="1" quotePrefix="1" applyNumberFormat="1" applyFont="1" applyFill="1" applyBorder="1" applyAlignment="1" applyProtection="1">
      <alignment horizontal="center" vertical="center"/>
    </xf>
    <xf numFmtId="1" fontId="28" fillId="15" borderId="25" xfId="1" applyNumberFormat="1" applyFont="1" applyFill="1" applyBorder="1" applyAlignment="1" applyProtection="1">
      <alignment horizontal="center" vertical="center" wrapText="1"/>
    </xf>
    <xf numFmtId="0" fontId="13" fillId="14" borderId="0" xfId="7" applyFont="1" applyFill="1" applyAlignment="1" applyProtection="1">
      <alignment horizontal="right"/>
    </xf>
    <xf numFmtId="170" fontId="4" fillId="14" borderId="8" xfId="7" applyNumberFormat="1" applyFont="1" applyFill="1" applyBorder="1" applyAlignment="1" applyProtection="1">
      <alignment horizontal="center" vertical="top"/>
    </xf>
    <xf numFmtId="0" fontId="9" fillId="4" borderId="64" xfId="7" applyFont="1" applyFill="1" applyBorder="1" applyProtection="1"/>
    <xf numFmtId="1" fontId="9" fillId="14" borderId="0" xfId="7" applyNumberFormat="1" applyFont="1" applyFill="1" applyProtection="1"/>
    <xf numFmtId="170" fontId="9" fillId="15" borderId="72" xfId="7" applyNumberFormat="1" applyFont="1" applyFill="1" applyBorder="1" applyAlignment="1" applyProtection="1">
      <alignment horizontal="left"/>
    </xf>
    <xf numFmtId="165" fontId="9" fillId="15" borderId="23" xfId="7" applyNumberFormat="1" applyFont="1" applyFill="1" applyBorder="1" applyAlignment="1" applyProtection="1">
      <alignment horizontal="center"/>
    </xf>
    <xf numFmtId="2" fontId="13" fillId="15" borderId="72" xfId="7" applyNumberFormat="1" applyFont="1" applyFill="1" applyBorder="1" applyAlignment="1" applyProtection="1">
      <alignment horizontal="center"/>
    </xf>
    <xf numFmtId="170" fontId="9" fillId="15" borderId="73" xfId="7" applyNumberFormat="1" applyFont="1" applyFill="1" applyBorder="1" applyAlignment="1" applyProtection="1">
      <alignment horizontal="left"/>
    </xf>
    <xf numFmtId="165" fontId="9" fillId="15" borderId="122" xfId="7" applyNumberFormat="1" applyFont="1" applyFill="1" applyBorder="1" applyAlignment="1" applyProtection="1">
      <alignment horizontal="center"/>
    </xf>
    <xf numFmtId="2" fontId="13" fillId="15" borderId="73" xfId="7" applyNumberFormat="1" applyFont="1" applyFill="1" applyBorder="1" applyAlignment="1" applyProtection="1">
      <alignment horizontal="center"/>
    </xf>
    <xf numFmtId="170" fontId="9" fillId="15" borderId="71" xfId="7" applyNumberFormat="1" applyFont="1" applyFill="1" applyBorder="1" applyAlignment="1" applyProtection="1">
      <alignment horizontal="left"/>
    </xf>
    <xf numFmtId="165" fontId="9" fillId="15" borderId="34" xfId="7" applyNumberFormat="1" applyFont="1" applyFill="1" applyBorder="1" applyAlignment="1" applyProtection="1">
      <alignment horizontal="center"/>
    </xf>
    <xf numFmtId="2" fontId="13" fillId="15" borderId="71" xfId="7" applyNumberFormat="1" applyFont="1" applyFill="1" applyBorder="1" applyAlignment="1" applyProtection="1">
      <alignment horizontal="center"/>
    </xf>
    <xf numFmtId="0" fontId="9" fillId="12" borderId="51" xfId="7" applyFont="1" applyFill="1" applyBorder="1" applyProtection="1"/>
    <xf numFmtId="165" fontId="13" fillId="15" borderId="35" xfId="7" applyNumberFormat="1" applyFont="1" applyFill="1" applyBorder="1" applyAlignment="1" applyProtection="1">
      <alignment horizontal="center"/>
    </xf>
    <xf numFmtId="165" fontId="9" fillId="15" borderId="27" xfId="7" applyNumberFormat="1" applyFont="1" applyFill="1" applyBorder="1" applyAlignment="1" applyProtection="1">
      <alignment horizontal="center"/>
    </xf>
    <xf numFmtId="165" fontId="9" fillId="15" borderId="15" xfId="7" applyNumberFormat="1" applyFont="1" applyFill="1" applyBorder="1" applyAlignment="1" applyProtection="1">
      <alignment horizontal="center"/>
    </xf>
    <xf numFmtId="165" fontId="16" fillId="15" borderId="78" xfId="7" applyNumberFormat="1" applyFont="1" applyFill="1" applyBorder="1" applyAlignment="1" applyProtection="1">
      <alignment horizontal="center"/>
    </xf>
    <xf numFmtId="0" fontId="9" fillId="4" borderId="58" xfId="7" applyFont="1" applyFill="1" applyBorder="1" applyProtection="1"/>
    <xf numFmtId="2" fontId="13" fillId="15" borderId="32" xfId="7" applyNumberFormat="1" applyFont="1" applyFill="1" applyBorder="1" applyAlignment="1" applyProtection="1">
      <alignment horizontal="center"/>
    </xf>
    <xf numFmtId="2" fontId="13" fillId="15" borderId="68" xfId="7" applyNumberFormat="1" applyFont="1" applyFill="1" applyBorder="1" applyAlignment="1" applyProtection="1">
      <alignment horizontal="center"/>
    </xf>
    <xf numFmtId="2" fontId="13" fillId="15" borderId="82" xfId="7" applyNumberFormat="1" applyFont="1" applyFill="1" applyBorder="1" applyAlignment="1" applyProtection="1">
      <alignment horizontal="center"/>
    </xf>
    <xf numFmtId="165" fontId="9" fillId="15" borderId="118" xfId="7" applyNumberFormat="1" applyFont="1" applyFill="1" applyBorder="1" applyAlignment="1" applyProtection="1">
      <alignment horizontal="center"/>
    </xf>
    <xf numFmtId="165" fontId="9" fillId="15" borderId="126" xfId="7" applyNumberFormat="1" applyFont="1" applyFill="1" applyBorder="1" applyAlignment="1" applyProtection="1">
      <alignment horizontal="center"/>
    </xf>
    <xf numFmtId="165" fontId="9" fillId="15" borderId="125" xfId="7" applyNumberFormat="1" applyFont="1" applyFill="1" applyBorder="1" applyAlignment="1" applyProtection="1">
      <alignment horizontal="center"/>
    </xf>
    <xf numFmtId="0" fontId="4" fillId="14" borderId="0" xfId="7" applyFont="1" applyFill="1" applyAlignment="1" applyProtection="1">
      <alignment horizontal="left"/>
    </xf>
    <xf numFmtId="0" fontId="9" fillId="14" borderId="0" xfId="7" applyFont="1" applyFill="1" applyAlignment="1" applyProtection="1">
      <alignment horizontal="right" vertical="top"/>
    </xf>
    <xf numFmtId="0" fontId="9" fillId="14" borderId="0" xfId="7" applyFont="1" applyFill="1" applyAlignment="1" applyProtection="1">
      <alignment horizontal="centerContinuous" vertical="top"/>
    </xf>
    <xf numFmtId="0" fontId="9" fillId="12" borderId="36" xfId="7" applyFont="1" applyFill="1" applyBorder="1" applyAlignment="1" applyProtection="1">
      <alignment horizontal="center" wrapText="1"/>
    </xf>
    <xf numFmtId="0" fontId="9" fillId="12" borderId="51" xfId="7" applyFont="1" applyFill="1" applyBorder="1" applyAlignment="1" applyProtection="1">
      <alignment horizontal="center" wrapText="1"/>
    </xf>
    <xf numFmtId="0" fontId="9" fillId="12" borderId="21" xfId="7" applyFont="1" applyFill="1" applyBorder="1" applyAlignment="1" applyProtection="1">
      <alignment horizontal="center" wrapText="1"/>
    </xf>
    <xf numFmtId="0" fontId="9" fillId="12" borderId="25" xfId="7" applyFont="1" applyFill="1" applyBorder="1" applyAlignment="1" applyProtection="1">
      <alignment horizontal="center" wrapText="1"/>
    </xf>
    <xf numFmtId="165" fontId="17" fillId="15" borderId="36" xfId="7" applyNumberFormat="1" applyFont="1" applyFill="1" applyBorder="1" applyAlignment="1" applyProtection="1">
      <alignment horizontal="center"/>
    </xf>
    <xf numFmtId="165" fontId="17" fillId="15" borderId="51" xfId="7" applyNumberFormat="1" applyFont="1" applyFill="1" applyBorder="1" applyAlignment="1" applyProtection="1">
      <alignment horizontal="center"/>
    </xf>
    <xf numFmtId="1" fontId="17" fillId="15" borderId="32" xfId="7" applyNumberFormat="1" applyFont="1" applyFill="1" applyBorder="1" applyAlignment="1" applyProtection="1">
      <alignment horizontal="center"/>
    </xf>
    <xf numFmtId="1" fontId="17" fillId="15" borderId="20" xfId="7" applyNumberFormat="1" applyFont="1" applyFill="1" applyBorder="1" applyAlignment="1" applyProtection="1">
      <alignment horizontal="center"/>
    </xf>
    <xf numFmtId="1" fontId="17" fillId="15" borderId="43" xfId="7" applyNumberFormat="1" applyFont="1" applyFill="1" applyBorder="1" applyAlignment="1" applyProtection="1">
      <alignment horizontal="center"/>
    </xf>
    <xf numFmtId="1" fontId="28" fillId="15" borderId="21" xfId="1" applyNumberFormat="1" applyFont="1" applyFill="1" applyBorder="1" applyAlignment="1" applyProtection="1">
      <alignment horizontal="center" vertical="center" wrapText="1"/>
    </xf>
    <xf numFmtId="1" fontId="28" fillId="15" borderId="27" xfId="1" applyNumberFormat="1" applyFont="1" applyFill="1" applyBorder="1" applyAlignment="1" applyProtection="1">
      <alignment horizontal="center" vertical="center" wrapText="1"/>
    </xf>
    <xf numFmtId="1" fontId="28" fillId="15" borderId="15" xfId="1" applyNumberFormat="1" applyFont="1" applyFill="1" applyBorder="1" applyAlignment="1" applyProtection="1">
      <alignment horizontal="center" vertical="center" wrapText="1"/>
    </xf>
    <xf numFmtId="0" fontId="13" fillId="14" borderId="0" xfId="7" applyFont="1" applyFill="1" applyProtection="1"/>
    <xf numFmtId="9" fontId="28" fillId="15" borderId="36" xfId="1" applyNumberFormat="1" applyFont="1" applyFill="1" applyBorder="1" applyAlignment="1" applyProtection="1">
      <alignment horizontal="center" vertical="center"/>
    </xf>
    <xf numFmtId="9" fontId="28" fillId="15" borderId="27" xfId="1" applyNumberFormat="1" applyFont="1" applyFill="1" applyBorder="1" applyAlignment="1" applyProtection="1">
      <alignment horizontal="center" vertical="center"/>
    </xf>
    <xf numFmtId="9" fontId="28" fillId="15" borderId="21" xfId="1" applyNumberFormat="1" applyFont="1" applyFill="1" applyBorder="1" applyAlignment="1" applyProtection="1">
      <alignment horizontal="center" vertical="center"/>
    </xf>
    <xf numFmtId="9" fontId="28" fillId="15" borderId="15" xfId="1" applyNumberFormat="1" applyFont="1" applyFill="1" applyBorder="1" applyAlignment="1" applyProtection="1">
      <alignment horizontal="center" vertical="center"/>
    </xf>
    <xf numFmtId="168" fontId="4" fillId="14" borderId="8" xfId="7" applyNumberFormat="1" applyFont="1" applyFill="1" applyBorder="1" applyAlignment="1" applyProtection="1">
      <alignment horizontal="center" vertical="top"/>
    </xf>
    <xf numFmtId="167" fontId="8" fillId="8" borderId="0" xfId="1" applyNumberFormat="1" applyFont="1" applyFill="1" applyBorder="1" applyAlignment="1" applyProtection="1">
      <alignment horizontal="center" vertical="center"/>
      <protection locked="0" hidden="1"/>
    </xf>
    <xf numFmtId="167" fontId="9" fillId="8" borderId="0" xfId="0" applyNumberFormat="1" applyFont="1" applyFill="1" applyProtection="1"/>
    <xf numFmtId="0" fontId="9" fillId="8" borderId="0" xfId="0" applyFont="1" applyFill="1" applyProtection="1"/>
    <xf numFmtId="0" fontId="9" fillId="8" borderId="0" xfId="0" applyFont="1" applyFill="1" applyAlignment="1" applyProtection="1">
      <alignment horizontal="center"/>
    </xf>
    <xf numFmtId="0" fontId="7" fillId="8" borderId="0" xfId="0" applyFont="1" applyFill="1" applyAlignment="1" applyProtection="1">
      <alignment horizontal="right" vertical="center"/>
    </xf>
    <xf numFmtId="49" fontId="13" fillId="0" borderId="94" xfId="0" applyNumberFormat="1" applyFont="1" applyBorder="1" applyAlignment="1" applyProtection="1">
      <alignment horizontal="center" vertical="center" wrapText="1"/>
    </xf>
    <xf numFmtId="49" fontId="13" fillId="0" borderId="95" xfId="0" applyNumberFormat="1" applyFont="1" applyBorder="1" applyAlignment="1" applyProtection="1">
      <alignment horizontal="center" vertical="center" wrapText="1"/>
    </xf>
    <xf numFmtId="49" fontId="13" fillId="0" borderId="96" xfId="0" applyNumberFormat="1" applyFont="1" applyBorder="1" applyAlignment="1" applyProtection="1">
      <alignment horizontal="center" vertical="center" wrapText="1"/>
    </xf>
    <xf numFmtId="0" fontId="9" fillId="8" borderId="2" xfId="0" applyFont="1" applyFill="1" applyBorder="1" applyAlignment="1" applyProtection="1">
      <alignment vertical="center"/>
    </xf>
    <xf numFmtId="49" fontId="13" fillId="23" borderId="31" xfId="0" applyNumberFormat="1" applyFont="1" applyFill="1" applyBorder="1" applyAlignment="1" applyProtection="1">
      <alignment horizontal="left" vertical="center" wrapText="1"/>
    </xf>
    <xf numFmtId="1" fontId="13" fillId="23" borderId="21" xfId="0" applyNumberFormat="1" applyFont="1" applyFill="1" applyBorder="1" applyAlignment="1" applyProtection="1">
      <alignment horizontal="center" vertical="center" wrapText="1"/>
    </xf>
    <xf numFmtId="1" fontId="13" fillId="23" borderId="25" xfId="0" applyNumberFormat="1" applyFont="1" applyFill="1" applyBorder="1" applyAlignment="1" applyProtection="1">
      <alignment horizontal="center" vertical="center" wrapText="1"/>
    </xf>
    <xf numFmtId="0" fontId="9" fillId="8" borderId="0" xfId="0" applyFont="1" applyFill="1" applyAlignment="1" applyProtection="1">
      <alignment vertical="center"/>
    </xf>
    <xf numFmtId="173" fontId="9" fillId="8" borderId="0" xfId="0" applyNumberFormat="1" applyFont="1" applyFill="1" applyAlignment="1" applyProtection="1">
      <alignment vertical="center"/>
    </xf>
    <xf numFmtId="0" fontId="9" fillId="8" borderId="0" xfId="0" applyFont="1" applyFill="1" applyAlignment="1" applyProtection="1">
      <alignment horizontal="center" vertical="center"/>
    </xf>
    <xf numFmtId="165" fontId="13" fillId="11" borderId="52" xfId="0" applyNumberFormat="1" applyFont="1" applyFill="1" applyBorder="1" applyAlignment="1" applyProtection="1">
      <alignment horizontal="left" vertical="center"/>
    </xf>
    <xf numFmtId="165" fontId="13" fillId="11" borderId="79" xfId="0" applyNumberFormat="1" applyFont="1" applyFill="1" applyBorder="1" applyAlignment="1" applyProtection="1">
      <alignment horizontal="center" vertical="center"/>
    </xf>
    <xf numFmtId="165" fontId="13" fillId="11" borderId="127" xfId="0" applyNumberFormat="1" applyFont="1" applyFill="1" applyBorder="1" applyAlignment="1" applyProtection="1">
      <alignment horizontal="center" vertical="center"/>
    </xf>
    <xf numFmtId="1" fontId="13" fillId="11" borderId="65" xfId="0" applyNumberFormat="1" applyFont="1" applyFill="1" applyBorder="1" applyAlignment="1" applyProtection="1">
      <alignment horizontal="center" vertical="center"/>
    </xf>
    <xf numFmtId="1" fontId="13" fillId="11" borderId="20" xfId="0" applyNumberFormat="1" applyFont="1" applyFill="1" applyBorder="1" applyAlignment="1" applyProtection="1">
      <alignment horizontal="center" vertical="center"/>
    </xf>
    <xf numFmtId="1" fontId="13" fillId="11" borderId="97" xfId="0" applyNumberFormat="1" applyFont="1" applyFill="1" applyBorder="1" applyAlignment="1" applyProtection="1">
      <alignment horizontal="center" vertical="center"/>
    </xf>
    <xf numFmtId="49" fontId="9" fillId="8" borderId="0" xfId="0" applyNumberFormat="1" applyFont="1" applyFill="1" applyAlignment="1" applyProtection="1">
      <alignment horizontal="center" vertical="center"/>
    </xf>
    <xf numFmtId="0" fontId="13" fillId="8" borderId="32" xfId="0" applyFont="1" applyFill="1" applyBorder="1" applyAlignment="1" applyProtection="1">
      <alignment horizontal="left" vertical="center"/>
    </xf>
    <xf numFmtId="165" fontId="13" fillId="8" borderId="20" xfId="0" applyNumberFormat="1" applyFont="1" applyFill="1" applyBorder="1" applyAlignment="1" applyProtection="1">
      <alignment horizontal="center" vertical="center"/>
    </xf>
    <xf numFmtId="165" fontId="13" fillId="8" borderId="23" xfId="0" applyNumberFormat="1" applyFont="1" applyFill="1" applyBorder="1" applyAlignment="1" applyProtection="1">
      <alignment horizontal="center" vertical="center"/>
    </xf>
    <xf numFmtId="0" fontId="13" fillId="8" borderId="115" xfId="0" applyFont="1" applyFill="1" applyBorder="1" applyAlignment="1" applyProtection="1">
      <alignment horizontal="left" vertical="center"/>
    </xf>
    <xf numFmtId="1" fontId="13" fillId="8" borderId="12" xfId="0" applyNumberFormat="1" applyFont="1" applyFill="1" applyBorder="1" applyAlignment="1" applyProtection="1">
      <alignment horizontal="center" vertical="center"/>
    </xf>
    <xf numFmtId="1" fontId="13" fillId="8" borderId="63" xfId="0" applyNumberFormat="1" applyFont="1" applyFill="1" applyBorder="1" applyAlignment="1" applyProtection="1">
      <alignment horizontal="center" vertical="center"/>
    </xf>
    <xf numFmtId="0" fontId="13" fillId="8" borderId="93" xfId="0" applyFont="1" applyFill="1" applyBorder="1" applyAlignment="1" applyProtection="1">
      <alignment horizontal="center" vertical="center"/>
    </xf>
    <xf numFmtId="0" fontId="13" fillId="8" borderId="122" xfId="0" applyFont="1" applyFill="1" applyBorder="1" applyAlignment="1" applyProtection="1">
      <alignment horizontal="left" vertical="center"/>
    </xf>
    <xf numFmtId="165" fontId="13" fillId="8" borderId="119" xfId="0" applyNumberFormat="1" applyFont="1" applyFill="1" applyBorder="1" applyAlignment="1" applyProtection="1">
      <alignment horizontal="center" vertical="center"/>
    </xf>
    <xf numFmtId="165" fontId="13" fillId="8" borderId="120" xfId="0" applyNumberFormat="1" applyFont="1" applyFill="1" applyBorder="1" applyAlignment="1" applyProtection="1">
      <alignment horizontal="center" vertical="center"/>
    </xf>
    <xf numFmtId="1" fontId="13" fillId="8" borderId="19" xfId="0" applyNumberFormat="1" applyFont="1" applyFill="1" applyBorder="1" applyAlignment="1" applyProtection="1">
      <alignment horizontal="center" vertical="center"/>
    </xf>
    <xf numFmtId="1" fontId="13" fillId="8" borderId="24" xfId="0" applyNumberFormat="1" applyFont="1" applyFill="1" applyBorder="1" applyAlignment="1" applyProtection="1">
      <alignment horizontal="center" vertical="center"/>
    </xf>
    <xf numFmtId="0" fontId="13" fillId="8" borderId="8" xfId="0" applyFont="1" applyFill="1" applyBorder="1" applyAlignment="1" applyProtection="1">
      <alignment horizontal="center" vertical="center"/>
    </xf>
    <xf numFmtId="0" fontId="9" fillId="14" borderId="0" xfId="0" applyFont="1" applyFill="1" applyAlignment="1" applyProtection="1">
      <alignment vertical="center"/>
    </xf>
    <xf numFmtId="0" fontId="9" fillId="8" borderId="0" xfId="0" applyFont="1" applyFill="1" applyAlignment="1" applyProtection="1">
      <alignment horizontal="left" vertical="center"/>
    </xf>
    <xf numFmtId="2" fontId="13" fillId="8" borderId="119" xfId="0" applyNumberFormat="1" applyFont="1" applyFill="1" applyBorder="1" applyAlignment="1" applyProtection="1">
      <alignment horizontal="center" vertical="center"/>
    </xf>
    <xf numFmtId="2" fontId="13" fillId="8" borderId="120" xfId="0" applyNumberFormat="1" applyFont="1" applyFill="1" applyBorder="1" applyAlignment="1" applyProtection="1">
      <alignment horizontal="center" vertical="center"/>
    </xf>
    <xf numFmtId="165" fontId="13" fillId="8" borderId="19" xfId="0" applyNumberFormat="1" applyFont="1" applyFill="1" applyBorder="1" applyAlignment="1" applyProtection="1">
      <alignment horizontal="center" vertical="center"/>
    </xf>
    <xf numFmtId="165" fontId="13" fillId="8" borderId="24" xfId="0" applyNumberFormat="1" applyFont="1" applyFill="1" applyBorder="1" applyAlignment="1" applyProtection="1">
      <alignment horizontal="center" vertical="center"/>
    </xf>
    <xf numFmtId="1" fontId="13" fillId="8" borderId="119" xfId="0" applyNumberFormat="1" applyFont="1" applyFill="1" applyBorder="1" applyAlignment="1" applyProtection="1">
      <alignment horizontal="center" vertical="center"/>
    </xf>
    <xf numFmtId="1" fontId="13" fillId="8" borderId="120" xfId="0" applyNumberFormat="1" applyFont="1" applyFill="1" applyBorder="1" applyAlignment="1" applyProtection="1">
      <alignment horizontal="center" vertical="center"/>
    </xf>
    <xf numFmtId="1" fontId="13" fillId="8" borderId="18" xfId="0" applyNumberFormat="1" applyFont="1" applyFill="1" applyBorder="1" applyAlignment="1" applyProtection="1">
      <alignment horizontal="center" vertical="center"/>
    </xf>
    <xf numFmtId="0" fontId="13" fillId="8" borderId="118" xfId="0" applyFont="1" applyFill="1" applyBorder="1" applyAlignment="1" applyProtection="1">
      <alignment horizontal="left" vertical="center"/>
    </xf>
    <xf numFmtId="0" fontId="13" fillId="8" borderId="42" xfId="0" applyFont="1" applyFill="1" applyBorder="1" applyAlignment="1" applyProtection="1">
      <alignment horizontal="left" vertical="center"/>
    </xf>
    <xf numFmtId="2" fontId="13" fillId="8" borderId="20" xfId="0" applyNumberFormat="1" applyFont="1" applyFill="1" applyBorder="1" applyAlignment="1" applyProtection="1">
      <alignment horizontal="center" vertical="center"/>
    </xf>
    <xf numFmtId="2" fontId="13" fillId="8" borderId="23" xfId="0" applyNumberFormat="1" applyFont="1" applyFill="1" applyBorder="1" applyAlignment="1" applyProtection="1">
      <alignment horizontal="center" vertical="center"/>
    </xf>
    <xf numFmtId="0" fontId="13" fillId="8" borderId="81" xfId="0" applyFont="1" applyFill="1" applyBorder="1" applyAlignment="1" applyProtection="1">
      <alignment horizontal="left" vertical="center"/>
    </xf>
    <xf numFmtId="165" fontId="13" fillId="8" borderId="16" xfId="0" applyNumberFormat="1" applyFont="1" applyFill="1" applyBorder="1" applyAlignment="1" applyProtection="1">
      <alignment horizontal="center" vertical="center"/>
    </xf>
    <xf numFmtId="165" fontId="13" fillId="8" borderId="18" xfId="0" applyNumberFormat="1" applyFont="1" applyFill="1" applyBorder="1" applyAlignment="1" applyProtection="1">
      <alignment horizontal="center" vertical="center"/>
    </xf>
    <xf numFmtId="0" fontId="13" fillId="8" borderId="73" xfId="0" applyFont="1" applyFill="1" applyBorder="1" applyAlignment="1" applyProtection="1">
      <alignment horizontal="left" vertical="center"/>
    </xf>
    <xf numFmtId="0" fontId="13" fillId="8" borderId="52" xfId="0" applyFont="1" applyFill="1" applyBorder="1" applyAlignment="1" applyProtection="1">
      <alignment horizontal="left" vertical="center"/>
    </xf>
    <xf numFmtId="0" fontId="9" fillId="8" borderId="70" xfId="0" applyFont="1" applyFill="1" applyBorder="1" applyAlignment="1" applyProtection="1">
      <alignment horizontal="left" vertical="top"/>
    </xf>
    <xf numFmtId="0" fontId="9" fillId="8" borderId="41" xfId="0" applyFont="1" applyFill="1" applyBorder="1" applyAlignment="1" applyProtection="1">
      <alignment horizontal="left" vertical="top"/>
    </xf>
    <xf numFmtId="0" fontId="13" fillId="8" borderId="34" xfId="0" applyFont="1" applyFill="1" applyBorder="1" applyAlignment="1" applyProtection="1">
      <alignment horizontal="left" vertical="center"/>
    </xf>
    <xf numFmtId="2" fontId="13" fillId="8" borderId="16" xfId="0" applyNumberFormat="1" applyFont="1" applyFill="1" applyBorder="1" applyAlignment="1" applyProtection="1">
      <alignment horizontal="center" vertical="center"/>
    </xf>
    <xf numFmtId="2" fontId="13" fillId="8" borderId="18" xfId="0" applyNumberFormat="1" applyFont="1" applyFill="1" applyBorder="1" applyAlignment="1" applyProtection="1">
      <alignment horizontal="center" vertical="center"/>
    </xf>
    <xf numFmtId="0" fontId="13" fillId="8" borderId="56" xfId="0" applyFont="1" applyFill="1" applyBorder="1" applyAlignment="1" applyProtection="1">
      <alignment horizontal="center" vertical="center"/>
    </xf>
    <xf numFmtId="0" fontId="20" fillId="8" borderId="110" xfId="0" applyFont="1" applyFill="1" applyBorder="1" applyProtection="1"/>
    <xf numFmtId="0" fontId="9" fillId="8" borderId="111" xfId="0" applyFont="1" applyFill="1" applyBorder="1" applyProtection="1"/>
    <xf numFmtId="0" fontId="13" fillId="8" borderId="111" xfId="0" applyFont="1" applyFill="1" applyBorder="1" applyAlignment="1" applyProtection="1">
      <alignment horizontal="center" vertical="center"/>
    </xf>
    <xf numFmtId="0" fontId="13" fillId="8" borderId="112" xfId="0" applyFont="1" applyFill="1" applyBorder="1" applyAlignment="1" applyProtection="1">
      <alignment horizontal="center" vertical="center"/>
    </xf>
    <xf numFmtId="0" fontId="13" fillId="8" borderId="0" xfId="0" applyFont="1" applyFill="1" applyAlignment="1" applyProtection="1">
      <alignment horizontal="center" vertical="center"/>
    </xf>
    <xf numFmtId="165" fontId="9" fillId="8" borderId="0" xfId="0" applyNumberFormat="1" applyFont="1" applyFill="1" applyAlignment="1" applyProtection="1">
      <alignment horizontal="center" vertical="center"/>
    </xf>
    <xf numFmtId="1" fontId="9" fillId="8" borderId="0" xfId="0" applyNumberFormat="1" applyFont="1" applyFill="1" applyAlignment="1" applyProtection="1">
      <alignment horizontal="center" vertical="center"/>
    </xf>
    <xf numFmtId="9" fontId="9" fillId="8" borderId="0" xfId="0" applyNumberFormat="1" applyFont="1" applyFill="1" applyAlignment="1" applyProtection="1">
      <alignment horizontal="center" vertical="center"/>
    </xf>
    <xf numFmtId="0" fontId="9" fillId="8" borderId="0" xfId="0" applyFont="1" applyFill="1" applyAlignment="1" applyProtection="1">
      <alignment horizontal="left" indent="1"/>
    </xf>
    <xf numFmtId="170" fontId="9" fillId="9" borderId="53" xfId="7" applyNumberFormat="1" applyFont="1" applyFill="1" applyBorder="1" applyAlignment="1" applyProtection="1">
      <alignment horizontal="left" vertical="center"/>
      <protection locked="0"/>
    </xf>
    <xf numFmtId="0" fontId="9" fillId="9" borderId="46" xfId="7" applyFont="1" applyFill="1" applyBorder="1" applyAlignment="1" applyProtection="1">
      <alignment horizontal="left" vertical="center"/>
      <protection locked="0"/>
    </xf>
    <xf numFmtId="0" fontId="9" fillId="9" borderId="77" xfId="7" applyFont="1" applyFill="1" applyBorder="1" applyAlignment="1" applyProtection="1">
      <alignment horizontal="left" vertical="center"/>
      <protection locked="0"/>
    </xf>
    <xf numFmtId="0" fontId="9" fillId="8" borderId="77" xfId="7" applyFont="1" applyFill="1" applyBorder="1" applyAlignment="1" applyProtection="1">
      <alignment horizontal="left" vertical="center"/>
      <protection locked="0"/>
    </xf>
    <xf numFmtId="14" fontId="60" fillId="8" borderId="0" xfId="0" applyNumberFormat="1" applyFont="1" applyFill="1" applyAlignment="1" applyProtection="1">
      <alignment horizontal="right" vertical="center"/>
      <protection locked="0"/>
    </xf>
    <xf numFmtId="0" fontId="7" fillId="14" borderId="1" xfId="0" applyFont="1" applyFill="1" applyBorder="1" applyProtection="1"/>
    <xf numFmtId="0" fontId="7" fillId="14" borderId="2" xfId="0" applyFont="1" applyFill="1" applyBorder="1" applyProtection="1"/>
    <xf numFmtId="0" fontId="9" fillId="14" borderId="7" xfId="0" applyFont="1" applyFill="1" applyBorder="1" applyProtection="1"/>
    <xf numFmtId="0" fontId="9" fillId="14" borderId="3" xfId="0" applyFont="1" applyFill="1" applyBorder="1" applyProtection="1"/>
    <xf numFmtId="0" fontId="9" fillId="14" borderId="8" xfId="0" applyFont="1" applyFill="1" applyBorder="1" applyProtection="1"/>
    <xf numFmtId="0" fontId="9" fillId="0" borderId="0" xfId="0" applyFont="1" applyProtection="1"/>
    <xf numFmtId="0" fontId="9" fillId="9" borderId="70" xfId="0" applyFont="1" applyFill="1" applyBorder="1" applyProtection="1"/>
    <xf numFmtId="0" fontId="9" fillId="9" borderId="41" xfId="0" applyFont="1" applyFill="1" applyBorder="1" applyProtection="1"/>
    <xf numFmtId="0" fontId="9" fillId="15" borderId="70" xfId="0" applyFont="1" applyFill="1" applyBorder="1" applyProtection="1"/>
    <xf numFmtId="0" fontId="9" fillId="15" borderId="41" xfId="0" applyFont="1" applyFill="1" applyBorder="1" applyProtection="1"/>
    <xf numFmtId="0" fontId="9" fillId="15" borderId="70" xfId="0" applyFont="1" applyFill="1" applyBorder="1" applyAlignment="1" applyProtection="1">
      <alignment vertical="top"/>
    </xf>
    <xf numFmtId="0" fontId="9" fillId="15" borderId="52" xfId="7" applyFont="1" applyFill="1" applyBorder="1" applyAlignment="1" applyProtection="1">
      <alignment horizontal="left" vertical="center"/>
    </xf>
    <xf numFmtId="0" fontId="9" fillId="15" borderId="70" xfId="7" applyFont="1" applyFill="1" applyBorder="1" applyAlignment="1" applyProtection="1">
      <alignment horizontal="left" vertical="center"/>
    </xf>
    <xf numFmtId="0" fontId="9" fillId="15" borderId="70" xfId="7" applyFont="1" applyFill="1" applyBorder="1" applyAlignment="1" applyProtection="1">
      <alignment horizontal="center" vertical="center"/>
    </xf>
    <xf numFmtId="0" fontId="9" fillId="14" borderId="0" xfId="0" applyFont="1" applyFill="1" applyAlignment="1" applyProtection="1">
      <alignment horizontal="right"/>
    </xf>
    <xf numFmtId="167" fontId="9" fillId="14" borderId="3" xfId="0" applyNumberFormat="1" applyFont="1" applyFill="1" applyBorder="1" applyProtection="1"/>
    <xf numFmtId="167" fontId="9" fillId="0" borderId="0" xfId="0" applyNumberFormat="1" applyFont="1" applyProtection="1"/>
    <xf numFmtId="0" fontId="9" fillId="9" borderId="0" xfId="0" applyFont="1" applyFill="1" applyAlignment="1" applyProtection="1">
      <alignment vertical="center"/>
    </xf>
    <xf numFmtId="167" fontId="9" fillId="9" borderId="55" xfId="0" applyNumberFormat="1" applyFont="1" applyFill="1" applyBorder="1" applyAlignment="1" applyProtection="1">
      <alignment vertical="center"/>
    </xf>
    <xf numFmtId="167" fontId="9" fillId="14" borderId="0" xfId="0" applyNumberFormat="1" applyFont="1" applyFill="1" applyProtection="1"/>
    <xf numFmtId="167" fontId="9" fillId="15" borderId="0" xfId="0" applyNumberFormat="1" applyFont="1" applyFill="1" applyProtection="1"/>
    <xf numFmtId="167" fontId="9" fillId="15" borderId="55" xfId="0" applyNumberFormat="1" applyFont="1" applyFill="1" applyBorder="1" applyProtection="1"/>
    <xf numFmtId="0" fontId="9" fillId="15" borderId="0" xfId="0" applyFont="1" applyFill="1" applyAlignment="1" applyProtection="1">
      <alignment vertical="center"/>
    </xf>
    <xf numFmtId="0" fontId="9" fillId="15" borderId="54" xfId="7" applyFont="1" applyFill="1" applyBorder="1" applyAlignment="1" applyProtection="1">
      <alignment horizontal="left" vertical="center"/>
    </xf>
    <xf numFmtId="0" fontId="9" fillId="15" borderId="0" xfId="7" applyFont="1" applyFill="1" applyAlignment="1" applyProtection="1">
      <alignment horizontal="left" vertical="center"/>
    </xf>
    <xf numFmtId="167" fontId="9" fillId="14" borderId="0" xfId="0" applyNumberFormat="1" applyFont="1" applyFill="1" applyAlignment="1" applyProtection="1">
      <alignment horizontal="right"/>
    </xf>
    <xf numFmtId="167" fontId="9" fillId="14" borderId="8" xfId="0" applyNumberFormat="1" applyFont="1" applyFill="1" applyBorder="1" applyProtection="1"/>
    <xf numFmtId="0" fontId="36" fillId="14" borderId="0" xfId="0" applyFont="1" applyFill="1" applyAlignment="1" applyProtection="1">
      <alignment horizontal="left" vertical="center" readingOrder="1"/>
    </xf>
    <xf numFmtId="0" fontId="9" fillId="9" borderId="28" xfId="0" applyFont="1" applyFill="1" applyBorder="1" applyAlignment="1" applyProtection="1">
      <alignment vertical="center"/>
    </xf>
    <xf numFmtId="0" fontId="9" fillId="9" borderId="57" xfId="0" applyFont="1" applyFill="1" applyBorder="1" applyAlignment="1" applyProtection="1">
      <alignment vertical="center"/>
    </xf>
    <xf numFmtId="0" fontId="9" fillId="15" borderId="28" xfId="0" applyFont="1" applyFill="1" applyBorder="1" applyAlignment="1" applyProtection="1">
      <alignment vertical="top"/>
    </xf>
    <xf numFmtId="0" fontId="9" fillId="15" borderId="57" xfId="0" applyFont="1" applyFill="1" applyBorder="1" applyAlignment="1" applyProtection="1">
      <alignment vertical="top"/>
    </xf>
    <xf numFmtId="2" fontId="9" fillId="15" borderId="28" xfId="0" applyNumberFormat="1" applyFont="1" applyFill="1" applyBorder="1" applyProtection="1"/>
    <xf numFmtId="0" fontId="9" fillId="15" borderId="28" xfId="0" applyFont="1" applyFill="1" applyBorder="1" applyProtection="1"/>
    <xf numFmtId="2" fontId="9" fillId="15" borderId="57" xfId="0" applyNumberFormat="1" applyFont="1" applyFill="1" applyBorder="1" applyAlignment="1" applyProtection="1">
      <alignment vertical="top"/>
    </xf>
    <xf numFmtId="0" fontId="9" fillId="15" borderId="56" xfId="0" applyFont="1" applyFill="1" applyBorder="1" applyAlignment="1" applyProtection="1">
      <alignment horizontal="left"/>
    </xf>
    <xf numFmtId="0" fontId="9" fillId="15" borderId="28" xfId="0" applyFont="1" applyFill="1" applyBorder="1" applyAlignment="1" applyProtection="1">
      <alignment horizontal="left"/>
    </xf>
    <xf numFmtId="181" fontId="36" fillId="14" borderId="0" xfId="0" applyNumberFormat="1" applyFont="1" applyFill="1" applyAlignment="1" applyProtection="1">
      <alignment horizontal="left" vertical="center" readingOrder="1"/>
    </xf>
    <xf numFmtId="0" fontId="35" fillId="14" borderId="0" xfId="0" applyFont="1" applyFill="1" applyAlignment="1" applyProtection="1">
      <alignment horizontal="center" vertical="center" readingOrder="1"/>
    </xf>
    <xf numFmtId="0" fontId="9" fillId="14" borderId="3" xfId="0" applyFont="1" applyFill="1" applyBorder="1" applyAlignment="1" applyProtection="1">
      <alignment vertical="center"/>
    </xf>
    <xf numFmtId="0" fontId="10" fillId="14" borderId="0" xfId="7" applyFont="1" applyFill="1" applyAlignment="1" applyProtection="1">
      <alignment vertical="center"/>
    </xf>
    <xf numFmtId="0" fontId="9" fillId="4" borderId="31" xfId="7" applyFont="1" applyFill="1" applyBorder="1" applyAlignment="1" applyProtection="1">
      <alignment horizontal="centerContinuous" vertical="center"/>
    </xf>
    <xf numFmtId="0" fontId="9" fillId="4" borderId="4" xfId="7" applyFont="1" applyFill="1" applyBorder="1" applyAlignment="1" applyProtection="1">
      <alignment horizontal="centerContinuous" vertical="center"/>
    </xf>
    <xf numFmtId="0" fontId="9" fillId="4" borderId="15" xfId="7" applyFont="1" applyFill="1" applyBorder="1" applyAlignment="1" applyProtection="1">
      <alignment horizontal="centerContinuous" vertical="center"/>
    </xf>
    <xf numFmtId="0" fontId="13" fillId="4" borderId="31" xfId="7" applyFont="1" applyFill="1" applyBorder="1" applyAlignment="1" applyProtection="1">
      <alignment horizontal="centerContinuous" vertical="center"/>
    </xf>
    <xf numFmtId="0" fontId="13" fillId="4" borderId="4" xfId="7" applyFont="1" applyFill="1" applyBorder="1" applyAlignment="1" applyProtection="1">
      <alignment horizontal="centerContinuous" vertical="center"/>
    </xf>
    <xf numFmtId="49" fontId="9" fillId="0" borderId="0" xfId="0" applyNumberFormat="1" applyFont="1" applyAlignment="1" applyProtection="1">
      <alignment vertical="center"/>
    </xf>
    <xf numFmtId="0" fontId="9" fillId="0" borderId="0" xfId="0" applyFont="1" applyAlignment="1" applyProtection="1">
      <alignment vertical="center"/>
    </xf>
    <xf numFmtId="0" fontId="9" fillId="4" borderId="76" xfId="7" applyFont="1" applyFill="1" applyBorder="1" applyAlignment="1" applyProtection="1">
      <alignment horizontal="center" vertical="center"/>
    </xf>
    <xf numFmtId="0" fontId="9" fillId="4" borderId="76" xfId="7" applyFont="1" applyFill="1" applyBorder="1" applyAlignment="1" applyProtection="1">
      <alignment horizontal="center" vertical="center" wrapText="1"/>
    </xf>
    <xf numFmtId="0" fontId="9" fillId="4" borderId="65" xfId="7" applyFont="1" applyFill="1" applyBorder="1" applyAlignment="1" applyProtection="1">
      <alignment horizontal="center" vertical="center" wrapText="1"/>
    </xf>
    <xf numFmtId="0" fontId="9" fillId="4" borderId="20" xfId="7" applyFont="1" applyFill="1" applyBorder="1" applyAlignment="1" applyProtection="1">
      <alignment horizontal="center" vertical="center" wrapText="1"/>
    </xf>
    <xf numFmtId="0" fontId="9" fillId="4" borderId="33" xfId="7" applyFont="1" applyFill="1" applyBorder="1" applyAlignment="1" applyProtection="1">
      <alignment horizontal="center" vertical="center" wrapText="1"/>
    </xf>
    <xf numFmtId="0" fontId="9" fillId="4" borderId="32" xfId="7" applyFont="1" applyFill="1" applyBorder="1" applyAlignment="1" applyProtection="1">
      <alignment horizontal="center" vertical="center" wrapText="1"/>
    </xf>
    <xf numFmtId="0" fontId="9" fillId="4" borderId="23" xfId="7" applyFont="1" applyFill="1" applyBorder="1" applyAlignment="1" applyProtection="1">
      <alignment horizontal="center" vertical="center" wrapText="1"/>
    </xf>
    <xf numFmtId="0" fontId="9" fillId="4" borderId="42" xfId="7" applyFont="1" applyFill="1" applyBorder="1" applyAlignment="1" applyProtection="1">
      <alignment horizontal="center" vertical="center" wrapText="1"/>
    </xf>
    <xf numFmtId="0" fontId="13" fillId="4" borderId="43" xfId="7" applyFont="1" applyFill="1" applyBorder="1" applyAlignment="1" applyProtection="1">
      <alignment horizontal="center" vertical="center" wrapText="1"/>
    </xf>
    <xf numFmtId="0" fontId="9" fillId="4" borderId="43" xfId="7" applyFont="1" applyFill="1" applyBorder="1" applyAlignment="1" applyProtection="1">
      <alignment horizontal="center" vertical="center" wrapText="1"/>
    </xf>
    <xf numFmtId="165" fontId="9" fillId="0" borderId="0" xfId="0" applyNumberFormat="1" applyFont="1" applyAlignment="1" applyProtection="1">
      <alignment vertical="center"/>
    </xf>
    <xf numFmtId="2" fontId="9" fillId="0" borderId="0" xfId="0" applyNumberFormat="1" applyFont="1" applyAlignment="1" applyProtection="1">
      <alignment vertical="center"/>
    </xf>
    <xf numFmtId="0" fontId="9" fillId="4" borderId="58" xfId="7" applyFont="1" applyFill="1" applyBorder="1" applyAlignment="1" applyProtection="1">
      <alignment horizontal="center" vertical="center"/>
    </xf>
    <xf numFmtId="0" fontId="9" fillId="4" borderId="52" xfId="7" applyFont="1" applyFill="1" applyBorder="1" applyAlignment="1" applyProtection="1">
      <alignment vertical="center"/>
    </xf>
    <xf numFmtId="0" fontId="9" fillId="4" borderId="70" xfId="7" applyFont="1" applyFill="1" applyBorder="1" applyAlignment="1" applyProtection="1">
      <alignment vertical="center"/>
    </xf>
    <xf numFmtId="0" fontId="9" fillId="4" borderId="41" xfId="7" applyFont="1" applyFill="1" applyBorder="1" applyAlignment="1" applyProtection="1">
      <alignment vertical="center"/>
    </xf>
    <xf numFmtId="0" fontId="9" fillId="4" borderId="82" xfId="7" applyFont="1" applyFill="1" applyBorder="1" applyAlignment="1" applyProtection="1">
      <alignment horizontal="center" vertical="center"/>
    </xf>
    <xf numFmtId="0" fontId="9" fillId="4" borderId="84" xfId="7" applyFont="1" applyFill="1" applyBorder="1" applyAlignment="1" applyProtection="1">
      <alignment horizontal="center" vertical="center"/>
    </xf>
    <xf numFmtId="0" fontId="9" fillId="4" borderId="113" xfId="7" applyFont="1" applyFill="1" applyBorder="1" applyAlignment="1" applyProtection="1">
      <alignment horizontal="center" vertical="center"/>
    </xf>
    <xf numFmtId="0" fontId="9" fillId="4" borderId="61" xfId="7" applyFont="1" applyFill="1" applyBorder="1" applyAlignment="1" applyProtection="1">
      <alignment horizontal="center" vertical="center"/>
    </xf>
    <xf numFmtId="0" fontId="9" fillId="4" borderId="68" xfId="7" applyFont="1" applyFill="1" applyBorder="1" applyAlignment="1" applyProtection="1">
      <alignment horizontal="center" vertical="center"/>
    </xf>
    <xf numFmtId="0" fontId="9" fillId="4" borderId="69" xfId="7" applyFont="1" applyFill="1" applyBorder="1" applyAlignment="1" applyProtection="1">
      <alignment horizontal="center" vertical="center"/>
    </xf>
    <xf numFmtId="0" fontId="9" fillId="4" borderId="59" xfId="7" applyFont="1" applyFill="1" applyBorder="1" applyAlignment="1" applyProtection="1">
      <alignment horizontal="center" vertical="center"/>
    </xf>
    <xf numFmtId="0" fontId="9" fillId="4" borderId="34" xfId="7" applyFont="1" applyFill="1" applyBorder="1" applyAlignment="1" applyProtection="1">
      <alignment horizontal="center" vertical="center"/>
    </xf>
    <xf numFmtId="0" fontId="13" fillId="4" borderId="78" xfId="7" applyFont="1" applyFill="1" applyBorder="1" applyAlignment="1" applyProtection="1">
      <alignment horizontal="center" vertical="center"/>
    </xf>
    <xf numFmtId="0" fontId="9" fillId="4" borderId="67" xfId="7" applyFont="1" applyFill="1" applyBorder="1" applyAlignment="1" applyProtection="1">
      <alignment horizontal="center" vertical="center"/>
    </xf>
    <xf numFmtId="0" fontId="9" fillId="4" borderId="16" xfId="7" applyFont="1" applyFill="1" applyBorder="1" applyAlignment="1" applyProtection="1">
      <alignment horizontal="center" vertical="center"/>
    </xf>
    <xf numFmtId="0" fontId="9" fillId="4" borderId="78" xfId="7" applyFont="1" applyFill="1" applyBorder="1" applyAlignment="1" applyProtection="1">
      <alignment horizontal="center" vertical="center"/>
    </xf>
    <xf numFmtId="165" fontId="9" fillId="4" borderId="76" xfId="7" applyNumberFormat="1" applyFont="1" applyFill="1" applyBorder="1" applyAlignment="1" applyProtection="1">
      <alignment horizontal="center" vertical="center"/>
    </xf>
    <xf numFmtId="165" fontId="9" fillId="4" borderId="65" xfId="7" applyNumberFormat="1" applyFont="1" applyFill="1" applyBorder="1" applyAlignment="1" applyProtection="1">
      <alignment horizontal="center" vertical="center"/>
    </xf>
    <xf numFmtId="1" fontId="9" fillId="4" borderId="20" xfId="7" applyNumberFormat="1" applyFont="1" applyFill="1" applyBorder="1" applyAlignment="1" applyProtection="1">
      <alignment horizontal="center" vertical="center"/>
    </xf>
    <xf numFmtId="165" fontId="9" fillId="4" borderId="20" xfId="7" applyNumberFormat="1" applyFont="1" applyFill="1" applyBorder="1" applyAlignment="1" applyProtection="1">
      <alignment horizontal="center" vertical="center"/>
    </xf>
    <xf numFmtId="1" fontId="9" fillId="4" borderId="33" xfId="7" applyNumberFormat="1" applyFont="1" applyFill="1" applyBorder="1" applyAlignment="1" applyProtection="1">
      <alignment horizontal="center" vertical="center"/>
    </xf>
    <xf numFmtId="165" fontId="9" fillId="4" borderId="32" xfId="7" applyNumberFormat="1" applyFont="1" applyFill="1" applyBorder="1" applyAlignment="1" applyProtection="1">
      <alignment horizontal="center" vertical="center"/>
    </xf>
    <xf numFmtId="165" fontId="9" fillId="4" borderId="23" xfId="7" applyNumberFormat="1" applyFont="1" applyFill="1" applyBorder="1" applyAlignment="1" applyProtection="1">
      <alignment horizontal="center" vertical="center"/>
    </xf>
    <xf numFmtId="2" fontId="9" fillId="4" borderId="23" xfId="7" applyNumberFormat="1" applyFont="1" applyFill="1" applyBorder="1" applyAlignment="1" applyProtection="1">
      <alignment horizontal="center" vertical="center"/>
    </xf>
    <xf numFmtId="2" fontId="9" fillId="4" borderId="44" xfId="7" applyNumberFormat="1" applyFont="1" applyFill="1" applyBorder="1" applyAlignment="1" applyProtection="1">
      <alignment horizontal="center" vertical="center"/>
    </xf>
    <xf numFmtId="2" fontId="13" fillId="4" borderId="46" xfId="7" applyNumberFormat="1" applyFont="1" applyFill="1" applyBorder="1" applyAlignment="1" applyProtection="1">
      <alignment horizontal="center" vertical="center"/>
    </xf>
    <xf numFmtId="165" fontId="9" fillId="4" borderId="45" xfId="7" applyNumberFormat="1" applyFont="1" applyFill="1" applyBorder="1" applyAlignment="1" applyProtection="1">
      <alignment horizontal="center" vertical="center"/>
    </xf>
    <xf numFmtId="165" fontId="9" fillId="4" borderId="12" xfId="7" applyNumberFormat="1" applyFont="1" applyFill="1" applyBorder="1" applyAlignment="1" applyProtection="1">
      <alignment horizontal="center" vertical="center"/>
    </xf>
    <xf numFmtId="1" fontId="9" fillId="4" borderId="12" xfId="7" applyNumberFormat="1" applyFont="1" applyFill="1" applyBorder="1" applyAlignment="1" applyProtection="1">
      <alignment horizontal="center" vertical="center"/>
    </xf>
    <xf numFmtId="165" fontId="9" fillId="4" borderId="14" xfId="7" applyNumberFormat="1" applyFont="1" applyFill="1" applyBorder="1" applyAlignment="1" applyProtection="1">
      <alignment horizontal="center" vertical="center"/>
    </xf>
    <xf numFmtId="165" fontId="9" fillId="4" borderId="74" xfId="7" applyNumberFormat="1" applyFont="1" applyFill="1" applyBorder="1" applyAlignment="1" applyProtection="1">
      <alignment horizontal="center" vertical="center"/>
    </xf>
    <xf numFmtId="165" fontId="9" fillId="4" borderId="104" xfId="7" applyNumberFormat="1" applyFont="1" applyFill="1" applyBorder="1" applyAlignment="1" applyProtection="1">
      <alignment horizontal="center" vertical="center"/>
    </xf>
    <xf numFmtId="1" fontId="9" fillId="4" borderId="105" xfId="7" applyNumberFormat="1" applyFont="1" applyFill="1" applyBorder="1" applyAlignment="1" applyProtection="1">
      <alignment horizontal="center" vertical="center"/>
    </xf>
    <xf numFmtId="165" fontId="9" fillId="4" borderId="105" xfId="7" applyNumberFormat="1" applyFont="1" applyFill="1" applyBorder="1" applyAlignment="1" applyProtection="1">
      <alignment horizontal="center" vertical="center"/>
    </xf>
    <xf numFmtId="1" fontId="9" fillId="4" borderId="22" xfId="7" applyNumberFormat="1" applyFont="1" applyFill="1" applyBorder="1" applyAlignment="1" applyProtection="1">
      <alignment horizontal="center" vertical="center"/>
    </xf>
    <xf numFmtId="165" fontId="9" fillId="4" borderId="37" xfId="7" applyNumberFormat="1" applyFont="1" applyFill="1" applyBorder="1" applyAlignment="1" applyProtection="1">
      <alignment horizontal="center" vertical="center"/>
    </xf>
    <xf numFmtId="165" fontId="9" fillId="4" borderId="24" xfId="7" applyNumberFormat="1" applyFont="1" applyFill="1" applyBorder="1" applyAlignment="1" applyProtection="1">
      <alignment horizontal="center" vertical="center"/>
    </xf>
    <xf numFmtId="2" fontId="9" fillId="4" borderId="24" xfId="7" applyNumberFormat="1" applyFont="1" applyFill="1" applyBorder="1" applyAlignment="1" applyProtection="1">
      <alignment horizontal="center" vertical="center"/>
    </xf>
    <xf numFmtId="165" fontId="9" fillId="4" borderId="22" xfId="7" applyNumberFormat="1" applyFont="1" applyFill="1" applyBorder="1" applyAlignment="1" applyProtection="1">
      <alignment horizontal="center" vertical="center"/>
    </xf>
    <xf numFmtId="165" fontId="9" fillId="4" borderId="75" xfId="7" applyNumberFormat="1" applyFont="1" applyFill="1" applyBorder="1" applyAlignment="1" applyProtection="1">
      <alignment horizontal="center" vertical="center"/>
    </xf>
    <xf numFmtId="165" fontId="9" fillId="4" borderId="67" xfId="7" applyNumberFormat="1" applyFont="1" applyFill="1" applyBorder="1" applyAlignment="1" applyProtection="1">
      <alignment horizontal="center" vertical="center"/>
    </xf>
    <xf numFmtId="1" fontId="9" fillId="4" borderId="16" xfId="7" applyNumberFormat="1" applyFont="1" applyFill="1" applyBorder="1" applyAlignment="1" applyProtection="1">
      <alignment horizontal="center" vertical="center"/>
    </xf>
    <xf numFmtId="165" fontId="9" fillId="4" borderId="16" xfId="7" applyNumberFormat="1" applyFont="1" applyFill="1" applyBorder="1" applyAlignment="1" applyProtection="1">
      <alignment horizontal="center" vertical="center"/>
    </xf>
    <xf numFmtId="1" fontId="9" fillId="4" borderId="17" xfId="7" applyNumberFormat="1" applyFont="1" applyFill="1" applyBorder="1" applyAlignment="1" applyProtection="1">
      <alignment horizontal="center" vertical="center"/>
    </xf>
    <xf numFmtId="165" fontId="9" fillId="4" borderId="34" xfId="7" applyNumberFormat="1" applyFont="1" applyFill="1" applyBorder="1" applyAlignment="1" applyProtection="1">
      <alignment horizontal="center" vertical="center"/>
    </xf>
    <xf numFmtId="165" fontId="9" fillId="4" borderId="116" xfId="7" applyNumberFormat="1" applyFont="1" applyFill="1" applyBorder="1" applyAlignment="1" applyProtection="1">
      <alignment horizontal="center" vertical="center"/>
    </xf>
    <xf numFmtId="2" fontId="9" fillId="4" borderId="116" xfId="7" applyNumberFormat="1" applyFont="1" applyFill="1" applyBorder="1" applyAlignment="1" applyProtection="1">
      <alignment horizontal="center" vertical="center"/>
    </xf>
    <xf numFmtId="2" fontId="9" fillId="4" borderId="117" xfId="7" applyNumberFormat="1" applyFont="1" applyFill="1" applyBorder="1" applyAlignment="1" applyProtection="1">
      <alignment horizontal="center" vertical="center"/>
    </xf>
    <xf numFmtId="2" fontId="13" fillId="4" borderId="55" xfId="7" applyNumberFormat="1" applyFont="1" applyFill="1" applyBorder="1" applyAlignment="1" applyProtection="1">
      <alignment horizontal="center" vertical="center"/>
    </xf>
    <xf numFmtId="165" fontId="9" fillId="4" borderId="84" xfId="7" applyNumberFormat="1" applyFont="1" applyFill="1" applyBorder="1" applyAlignment="1" applyProtection="1">
      <alignment horizontal="center" vertical="center"/>
    </xf>
    <xf numFmtId="165" fontId="9" fillId="4" borderId="113" xfId="7" applyNumberFormat="1" applyFont="1" applyFill="1" applyBorder="1" applyAlignment="1" applyProtection="1">
      <alignment horizontal="center" vertical="center"/>
    </xf>
    <xf numFmtId="1" fontId="9" fillId="4" borderId="113" xfId="7" applyNumberFormat="1" applyFont="1" applyFill="1" applyBorder="1" applyAlignment="1" applyProtection="1">
      <alignment horizontal="center" vertical="center"/>
    </xf>
    <xf numFmtId="165" fontId="9" fillId="4" borderId="61" xfId="7" applyNumberFormat="1" applyFont="1" applyFill="1" applyBorder="1" applyAlignment="1" applyProtection="1">
      <alignment horizontal="center" vertical="center"/>
    </xf>
    <xf numFmtId="165" fontId="9" fillId="4" borderId="118" xfId="7" applyNumberFormat="1" applyFont="1" applyFill="1" applyBorder="1" applyAlignment="1" applyProtection="1">
      <alignment horizontal="center" vertical="center"/>
    </xf>
    <xf numFmtId="165" fontId="9" fillId="14" borderId="0" xfId="7" applyNumberFormat="1" applyFont="1" applyFill="1" applyAlignment="1" applyProtection="1">
      <alignment horizontal="center" vertical="center"/>
    </xf>
    <xf numFmtId="1" fontId="9" fillId="14" borderId="0" xfId="7" applyNumberFormat="1" applyFont="1" applyFill="1" applyAlignment="1" applyProtection="1">
      <alignment horizontal="center" vertical="center"/>
    </xf>
    <xf numFmtId="0" fontId="9" fillId="4" borderId="51" xfId="7" applyFont="1" applyFill="1" applyBorder="1" applyAlignment="1" applyProtection="1">
      <alignment vertical="center"/>
    </xf>
    <xf numFmtId="0" fontId="9" fillId="4" borderId="31" xfId="7" applyFont="1" applyFill="1" applyBorder="1" applyAlignment="1" applyProtection="1">
      <alignment vertical="center"/>
    </xf>
    <xf numFmtId="2" fontId="9" fillId="4" borderId="36" xfId="7" applyNumberFormat="1" applyFont="1" applyFill="1" applyBorder="1" applyAlignment="1" applyProtection="1">
      <alignment horizontal="center" vertical="center"/>
    </xf>
    <xf numFmtId="2" fontId="13" fillId="4" borderId="15" xfId="7" applyNumberFormat="1" applyFont="1" applyFill="1" applyBorder="1" applyAlignment="1" applyProtection="1">
      <alignment horizontal="center" vertical="center"/>
    </xf>
    <xf numFmtId="165" fontId="9" fillId="4" borderId="27" xfId="7" applyNumberFormat="1" applyFont="1" applyFill="1" applyBorder="1" applyAlignment="1" applyProtection="1">
      <alignment horizontal="center" vertical="center"/>
    </xf>
    <xf numFmtId="1" fontId="9" fillId="4" borderId="21" xfId="7" applyNumberFormat="1" applyFont="1" applyFill="1" applyBorder="1" applyAlignment="1" applyProtection="1">
      <alignment horizontal="center" vertical="center"/>
    </xf>
    <xf numFmtId="165" fontId="9" fillId="4" borderId="21" xfId="7" applyNumberFormat="1" applyFont="1" applyFill="1" applyBorder="1" applyAlignment="1" applyProtection="1">
      <alignment horizontal="center" vertical="center"/>
    </xf>
    <xf numFmtId="1" fontId="9" fillId="4" borderId="4" xfId="7" applyNumberFormat="1" applyFont="1" applyFill="1" applyBorder="1" applyAlignment="1" applyProtection="1">
      <alignment horizontal="center" vertical="center"/>
    </xf>
    <xf numFmtId="1" fontId="9" fillId="4" borderId="35" xfId="7" applyNumberFormat="1" applyFont="1" applyFill="1" applyBorder="1" applyAlignment="1" applyProtection="1">
      <alignment horizontal="center" vertical="center"/>
    </xf>
    <xf numFmtId="1" fontId="9" fillId="4" borderId="31" xfId="7" applyNumberFormat="1" applyFont="1" applyFill="1" applyBorder="1" applyAlignment="1" applyProtection="1">
      <alignment horizontal="center" vertical="center"/>
    </xf>
    <xf numFmtId="1" fontId="9" fillId="4" borderId="25" xfId="7" applyNumberFormat="1" applyFont="1" applyFill="1" applyBorder="1" applyAlignment="1" applyProtection="1">
      <alignment horizontal="center" vertical="center"/>
    </xf>
    <xf numFmtId="2" fontId="9" fillId="4" borderId="25" xfId="7" applyNumberFormat="1" applyFont="1" applyFill="1" applyBorder="1" applyAlignment="1" applyProtection="1">
      <alignment horizontal="center" vertical="center"/>
    </xf>
    <xf numFmtId="167" fontId="9" fillId="4" borderId="41" xfId="7" applyNumberFormat="1" applyFont="1" applyFill="1" applyBorder="1" applyAlignment="1" applyProtection="1">
      <alignment vertical="center"/>
    </xf>
    <xf numFmtId="1" fontId="9" fillId="14" borderId="0" xfId="7" applyNumberFormat="1" applyFont="1" applyFill="1" applyAlignment="1" applyProtection="1">
      <alignment vertical="center"/>
    </xf>
    <xf numFmtId="0" fontId="9" fillId="4" borderId="58" xfId="7" applyFont="1" applyFill="1" applyBorder="1" applyAlignment="1" applyProtection="1">
      <alignment vertical="center"/>
    </xf>
    <xf numFmtId="2" fontId="16" fillId="4" borderId="48" xfId="7" applyNumberFormat="1" applyFont="1" applyFill="1" applyBorder="1" applyAlignment="1" applyProtection="1">
      <alignment horizontal="center" vertical="center"/>
    </xf>
    <xf numFmtId="1" fontId="16" fillId="4" borderId="48" xfId="7" applyNumberFormat="1" applyFont="1" applyFill="1" applyBorder="1" applyAlignment="1" applyProtection="1">
      <alignment horizontal="center" vertical="center"/>
    </xf>
    <xf numFmtId="165" fontId="16" fillId="4" borderId="48" xfId="7" applyNumberFormat="1" applyFont="1" applyFill="1" applyBorder="1" applyAlignment="1" applyProtection="1">
      <alignment horizontal="center" vertical="center"/>
    </xf>
    <xf numFmtId="2" fontId="16" fillId="4" borderId="49" xfId="7" applyNumberFormat="1" applyFont="1" applyFill="1" applyBorder="1" applyAlignment="1" applyProtection="1">
      <alignment horizontal="center" vertical="center"/>
    </xf>
    <xf numFmtId="0" fontId="9" fillId="4" borderId="56" xfId="7" applyFont="1" applyFill="1" applyBorder="1" applyAlignment="1" applyProtection="1">
      <alignment vertical="center"/>
    </xf>
    <xf numFmtId="0" fontId="9" fillId="4" borderId="28" xfId="7" applyFont="1" applyFill="1" applyBorder="1" applyAlignment="1" applyProtection="1">
      <alignment vertical="center"/>
    </xf>
    <xf numFmtId="167" fontId="9" fillId="4" borderId="57" xfId="7" applyNumberFormat="1" applyFont="1" applyFill="1" applyBorder="1" applyAlignment="1" applyProtection="1">
      <alignment vertical="center"/>
    </xf>
    <xf numFmtId="0" fontId="13" fillId="14" borderId="0" xfId="7" applyFont="1" applyFill="1" applyAlignment="1" applyProtection="1">
      <alignment horizontal="center" vertical="center"/>
    </xf>
    <xf numFmtId="2" fontId="9" fillId="4" borderId="32" xfId="7" applyNumberFormat="1" applyFont="1" applyFill="1" applyBorder="1" applyAlignment="1" applyProtection="1">
      <alignment horizontal="center" vertical="center"/>
    </xf>
    <xf numFmtId="2" fontId="13" fillId="4" borderId="43" xfId="7" applyNumberFormat="1" applyFont="1" applyFill="1" applyBorder="1" applyAlignment="1" applyProtection="1">
      <alignment horizontal="center" vertical="center"/>
    </xf>
    <xf numFmtId="2" fontId="9" fillId="14" borderId="0" xfId="0" applyNumberFormat="1" applyFont="1" applyFill="1" applyAlignment="1" applyProtection="1">
      <alignment vertical="center"/>
    </xf>
    <xf numFmtId="165" fontId="9" fillId="4" borderId="18" xfId="7" applyNumberFormat="1" applyFont="1" applyFill="1" applyBorder="1" applyAlignment="1" applyProtection="1">
      <alignment horizontal="center" vertical="center"/>
    </xf>
    <xf numFmtId="2" fontId="9" fillId="4" borderId="18" xfId="7" applyNumberFormat="1" applyFont="1" applyFill="1" applyBorder="1" applyAlignment="1" applyProtection="1">
      <alignment horizontal="center" vertical="center"/>
    </xf>
    <xf numFmtId="2" fontId="9" fillId="4" borderId="47" xfId="7" applyNumberFormat="1" applyFont="1" applyFill="1" applyBorder="1" applyAlignment="1" applyProtection="1">
      <alignment horizontal="center" vertical="center"/>
    </xf>
    <xf numFmtId="2" fontId="13" fillId="4" borderId="57" xfId="7" applyNumberFormat="1" applyFont="1" applyFill="1" applyBorder="1" applyAlignment="1" applyProtection="1">
      <alignment horizontal="center" vertical="center"/>
    </xf>
    <xf numFmtId="0" fontId="36" fillId="0" borderId="0" xfId="0" applyFont="1" applyAlignment="1" applyProtection="1">
      <alignment horizontal="left" vertical="center" readingOrder="1"/>
    </xf>
    <xf numFmtId="165" fontId="9" fillId="4" borderId="28" xfId="7" applyNumberFormat="1" applyFont="1" applyFill="1" applyBorder="1" applyAlignment="1" applyProtection="1">
      <alignment horizontal="center" vertical="center"/>
    </xf>
    <xf numFmtId="165" fontId="9" fillId="4" borderId="29" xfId="7" applyNumberFormat="1" applyFont="1" applyFill="1" applyBorder="1" applyAlignment="1" applyProtection="1">
      <alignment horizontal="center" vertical="center"/>
    </xf>
    <xf numFmtId="165" fontId="9" fillId="4" borderId="9" xfId="7" applyNumberFormat="1" applyFont="1" applyFill="1" applyBorder="1" applyAlignment="1" applyProtection="1">
      <alignment horizontal="center" vertical="center"/>
    </xf>
    <xf numFmtId="165" fontId="9" fillId="4" borderId="10" xfId="7" applyNumberFormat="1" applyFont="1" applyFill="1" applyBorder="1" applyAlignment="1" applyProtection="1">
      <alignment horizontal="center" vertical="center"/>
    </xf>
    <xf numFmtId="165" fontId="9" fillId="4" borderId="50" xfId="7" applyNumberFormat="1" applyFont="1" applyFill="1" applyBorder="1" applyAlignment="1" applyProtection="1">
      <alignment horizontal="center" vertical="center"/>
    </xf>
    <xf numFmtId="165" fontId="9" fillId="4" borderId="49" xfId="7" applyNumberFormat="1" applyFont="1" applyFill="1" applyBorder="1" applyAlignment="1" applyProtection="1">
      <alignment horizontal="center" vertical="center"/>
    </xf>
    <xf numFmtId="2" fontId="13" fillId="4" borderId="36" xfId="7" applyNumberFormat="1" applyFont="1" applyFill="1" applyBorder="1" applyAlignment="1" applyProtection="1">
      <alignment horizontal="center" vertical="center"/>
    </xf>
    <xf numFmtId="2" fontId="13" fillId="4" borderId="25" xfId="7" applyNumberFormat="1" applyFont="1" applyFill="1" applyBorder="1" applyAlignment="1" applyProtection="1">
      <alignment horizontal="center" vertical="center"/>
    </xf>
    <xf numFmtId="165" fontId="13" fillId="4" borderId="27" xfId="7" applyNumberFormat="1" applyFont="1" applyFill="1" applyBorder="1" applyAlignment="1" applyProtection="1">
      <alignment horizontal="center" vertical="center"/>
    </xf>
    <xf numFmtId="1" fontId="13" fillId="4" borderId="21" xfId="7" applyNumberFormat="1" applyFont="1" applyFill="1" applyBorder="1" applyAlignment="1" applyProtection="1">
      <alignment horizontal="center" vertical="center"/>
    </xf>
    <xf numFmtId="165" fontId="13" fillId="4" borderId="21" xfId="7" applyNumberFormat="1" applyFont="1" applyFill="1" applyBorder="1" applyAlignment="1" applyProtection="1">
      <alignment horizontal="center" vertical="center"/>
    </xf>
    <xf numFmtId="165" fontId="13" fillId="4" borderId="34" xfId="7" applyNumberFormat="1" applyFont="1" applyFill="1" applyBorder="1" applyAlignment="1" applyProtection="1">
      <alignment horizontal="center" vertical="center"/>
    </xf>
    <xf numFmtId="1" fontId="13" fillId="4" borderId="25" xfId="7" applyNumberFormat="1" applyFont="1" applyFill="1" applyBorder="1" applyAlignment="1" applyProtection="1">
      <alignment horizontal="center" vertical="center"/>
    </xf>
    <xf numFmtId="0" fontId="9" fillId="12" borderId="31" xfId="0" applyFont="1" applyFill="1" applyBorder="1" applyAlignment="1" applyProtection="1">
      <alignment vertical="center"/>
    </xf>
    <xf numFmtId="0" fontId="9" fillId="12" borderId="28" xfId="0" applyFont="1" applyFill="1" applyBorder="1" applyAlignment="1" applyProtection="1">
      <alignment vertical="center"/>
    </xf>
    <xf numFmtId="1" fontId="9" fillId="12" borderId="28" xfId="7" applyNumberFormat="1" applyFont="1" applyFill="1" applyBorder="1" applyAlignment="1" applyProtection="1">
      <alignment horizontal="center" vertical="center"/>
    </xf>
    <xf numFmtId="165" fontId="13" fillId="12" borderId="58" xfId="7" applyNumberFormat="1" applyFont="1" applyFill="1" applyBorder="1" applyAlignment="1" applyProtection="1">
      <alignment horizontal="center" vertical="center"/>
    </xf>
    <xf numFmtId="165" fontId="13" fillId="12" borderId="48" xfId="7" applyNumberFormat="1" applyFont="1" applyFill="1" applyBorder="1" applyAlignment="1" applyProtection="1">
      <alignment horizontal="center" vertical="center"/>
    </xf>
    <xf numFmtId="1" fontId="13" fillId="12" borderId="50" xfId="7" applyNumberFormat="1" applyFont="1" applyFill="1" applyBorder="1" applyAlignment="1" applyProtection="1">
      <alignment horizontal="center" vertical="center"/>
    </xf>
    <xf numFmtId="0" fontId="35" fillId="0" borderId="0" xfId="0" applyFont="1" applyAlignment="1" applyProtection="1">
      <alignment horizontal="center" vertical="center" readingOrder="1"/>
    </xf>
    <xf numFmtId="2" fontId="16" fillId="20" borderId="48" xfId="7" applyNumberFormat="1" applyFont="1" applyFill="1" applyBorder="1" applyAlignment="1" applyProtection="1">
      <alignment horizontal="center" vertical="center"/>
    </xf>
    <xf numFmtId="1" fontId="16" fillId="20" borderId="48" xfId="7" applyNumberFormat="1" applyFont="1" applyFill="1" applyBorder="1" applyAlignment="1" applyProtection="1">
      <alignment horizontal="center" vertical="center"/>
    </xf>
    <xf numFmtId="165" fontId="16" fillId="20" borderId="48" xfId="7" applyNumberFormat="1" applyFont="1" applyFill="1" applyBorder="1" applyAlignment="1" applyProtection="1">
      <alignment horizontal="center" vertical="center"/>
    </xf>
    <xf numFmtId="2" fontId="16" fillId="20" borderId="49" xfId="7" applyNumberFormat="1" applyFont="1" applyFill="1" applyBorder="1" applyAlignment="1" applyProtection="1">
      <alignment horizontal="center" vertical="center"/>
    </xf>
    <xf numFmtId="0" fontId="9" fillId="4" borderId="52" xfId="7" applyFont="1" applyFill="1" applyBorder="1" applyAlignment="1" applyProtection="1">
      <alignment horizontal="left" vertical="center"/>
    </xf>
    <xf numFmtId="0" fontId="9" fillId="4" borderId="70" xfId="7" applyFont="1" applyFill="1" applyBorder="1" applyAlignment="1" applyProtection="1">
      <alignment horizontal="left" vertical="center"/>
    </xf>
    <xf numFmtId="0" fontId="9" fillId="4" borderId="70" xfId="7" applyFont="1" applyFill="1" applyBorder="1" applyAlignment="1" applyProtection="1">
      <alignment horizontal="center" vertical="center"/>
    </xf>
    <xf numFmtId="176" fontId="9" fillId="4" borderId="52" xfId="7" applyNumberFormat="1" applyFont="1" applyFill="1" applyBorder="1" applyAlignment="1" applyProtection="1">
      <alignment horizontal="center" vertical="center"/>
    </xf>
    <xf numFmtId="176" fontId="9" fillId="4" borderId="70" xfId="7" applyNumberFormat="1" applyFont="1" applyFill="1" applyBorder="1" applyAlignment="1" applyProtection="1">
      <alignment horizontal="center" vertical="center"/>
    </xf>
    <xf numFmtId="176" fontId="9" fillId="4" borderId="41" xfId="7" applyNumberFormat="1" applyFont="1" applyFill="1" applyBorder="1" applyAlignment="1" applyProtection="1">
      <alignment horizontal="center" vertical="center"/>
    </xf>
    <xf numFmtId="0" fontId="9" fillId="4" borderId="54" xfId="7" applyFont="1" applyFill="1" applyBorder="1" applyAlignment="1" applyProtection="1">
      <alignment horizontal="left" vertical="center"/>
    </xf>
    <xf numFmtId="0" fontId="9" fillId="4" borderId="0" xfId="7" applyFont="1" applyFill="1" applyAlignment="1" applyProtection="1">
      <alignment horizontal="left" vertical="center"/>
    </xf>
    <xf numFmtId="0" fontId="9" fillId="4" borderId="0" xfId="7" applyFont="1" applyFill="1" applyAlignment="1" applyProtection="1">
      <alignment horizontal="center" vertical="center"/>
    </xf>
    <xf numFmtId="165" fontId="9" fillId="4" borderId="54" xfId="7" applyNumberFormat="1" applyFont="1" applyFill="1" applyBorder="1" applyAlignment="1" applyProtection="1">
      <alignment horizontal="center" vertical="center"/>
    </xf>
    <xf numFmtId="165" fontId="9" fillId="4" borderId="0" xfId="7" applyNumberFormat="1" applyFont="1" applyFill="1" applyAlignment="1" applyProtection="1">
      <alignment horizontal="center" vertical="center"/>
    </xf>
    <xf numFmtId="165" fontId="9" fillId="4" borderId="55" xfId="7" applyNumberFormat="1" applyFont="1" applyFill="1" applyBorder="1" applyAlignment="1" applyProtection="1">
      <alignment horizontal="center" vertical="center"/>
    </xf>
    <xf numFmtId="0" fontId="13" fillId="4" borderId="54" xfId="7" applyFont="1" applyFill="1" applyBorder="1" applyAlignment="1" applyProtection="1">
      <alignment horizontal="center" vertical="center"/>
    </xf>
    <xf numFmtId="0" fontId="13" fillId="4" borderId="0" xfId="7" applyFont="1" applyFill="1" applyAlignment="1" applyProtection="1">
      <alignment horizontal="center" vertical="center"/>
    </xf>
    <xf numFmtId="0" fontId="13" fillId="4" borderId="55" xfId="7" applyFont="1" applyFill="1" applyBorder="1" applyAlignment="1" applyProtection="1">
      <alignment horizontal="center" vertical="center"/>
    </xf>
    <xf numFmtId="0" fontId="9" fillId="4" borderId="56" xfId="7" applyFont="1" applyFill="1" applyBorder="1" applyAlignment="1" applyProtection="1">
      <alignment horizontal="left" vertical="center"/>
    </xf>
    <xf numFmtId="0" fontId="9" fillId="4" borderId="28" xfId="7" applyFont="1" applyFill="1" applyBorder="1" applyAlignment="1" applyProtection="1">
      <alignment horizontal="left" vertical="center"/>
    </xf>
    <xf numFmtId="0" fontId="9" fillId="4" borderId="28" xfId="7" applyFont="1" applyFill="1" applyBorder="1" applyAlignment="1" applyProtection="1">
      <alignment horizontal="center" vertical="center"/>
    </xf>
    <xf numFmtId="167" fontId="13" fillId="4" borderId="56" xfId="7" applyNumberFormat="1" applyFont="1" applyFill="1" applyBorder="1" applyAlignment="1" applyProtection="1">
      <alignment horizontal="center" vertical="center"/>
    </xf>
    <xf numFmtId="167" fontId="13" fillId="4" borderId="28" xfId="7" applyNumberFormat="1" applyFont="1" applyFill="1" applyBorder="1" applyAlignment="1" applyProtection="1">
      <alignment horizontal="center" vertical="center"/>
    </xf>
    <xf numFmtId="167" fontId="13" fillId="4" borderId="57" xfId="7" applyNumberFormat="1" applyFont="1" applyFill="1" applyBorder="1" applyAlignment="1" applyProtection="1">
      <alignment horizontal="center" vertical="center"/>
    </xf>
    <xf numFmtId="0" fontId="9" fillId="12" borderId="4" xfId="0" applyFont="1" applyFill="1" applyBorder="1" applyAlignment="1" applyProtection="1">
      <alignment vertical="center"/>
    </xf>
    <xf numFmtId="1" fontId="50" fillId="12" borderId="4" xfId="7" applyNumberFormat="1" applyFont="1" applyFill="1" applyBorder="1" applyAlignment="1" applyProtection="1">
      <alignment horizontal="center" vertical="center"/>
    </xf>
    <xf numFmtId="2" fontId="13" fillId="12" borderId="31" xfId="7" applyNumberFormat="1" applyFont="1" applyFill="1" applyBorder="1" applyAlignment="1" applyProtection="1">
      <alignment horizontal="center" vertical="center"/>
    </xf>
    <xf numFmtId="2" fontId="13" fillId="12" borderId="4" xfId="7" applyNumberFormat="1" applyFont="1" applyFill="1" applyBorder="1" applyAlignment="1" applyProtection="1">
      <alignment horizontal="center" vertical="center"/>
    </xf>
    <xf numFmtId="2" fontId="13" fillId="12" borderId="15" xfId="7" applyNumberFormat="1" applyFont="1" applyFill="1" applyBorder="1" applyAlignment="1" applyProtection="1">
      <alignment horizontal="center" vertical="center"/>
    </xf>
    <xf numFmtId="1" fontId="9" fillId="14" borderId="8" xfId="7" applyNumberFormat="1" applyFont="1" applyFill="1" applyBorder="1" applyAlignment="1" applyProtection="1">
      <alignment horizontal="center" vertical="center"/>
    </xf>
    <xf numFmtId="0" fontId="9" fillId="10" borderId="0" xfId="0" applyFont="1" applyFill="1" applyAlignment="1" applyProtection="1">
      <alignment vertical="center"/>
    </xf>
    <xf numFmtId="0" fontId="9" fillId="14" borderId="5" xfId="0" applyFont="1" applyFill="1" applyBorder="1" applyProtection="1"/>
    <xf numFmtId="0" fontId="9" fillId="14" borderId="6" xfId="0" applyFont="1" applyFill="1" applyBorder="1" applyProtection="1"/>
    <xf numFmtId="0" fontId="9" fillId="14" borderId="6" xfId="0" applyFont="1" applyFill="1" applyBorder="1" applyAlignment="1" applyProtection="1">
      <alignment vertical="center"/>
    </xf>
    <xf numFmtId="1" fontId="9" fillId="14" borderId="6" xfId="7" applyNumberFormat="1" applyFont="1" applyFill="1" applyBorder="1" applyAlignment="1" applyProtection="1">
      <alignment horizontal="center" vertical="center"/>
    </xf>
    <xf numFmtId="1" fontId="9" fillId="14" borderId="26" xfId="7" applyNumberFormat="1" applyFont="1" applyFill="1" applyBorder="1" applyAlignment="1" applyProtection="1">
      <alignment horizontal="center" vertical="center"/>
    </xf>
    <xf numFmtId="0" fontId="9" fillId="9" borderId="56" xfId="0" applyFont="1" applyFill="1" applyBorder="1" applyAlignment="1" applyProtection="1">
      <alignment vertical="center"/>
      <protection locked="0"/>
    </xf>
    <xf numFmtId="167" fontId="9" fillId="15" borderId="52" xfId="0" applyNumberFormat="1" applyFont="1" applyFill="1" applyBorder="1" applyProtection="1">
      <protection locked="0"/>
    </xf>
    <xf numFmtId="0" fontId="9" fillId="15" borderId="56" xfId="0" applyFont="1" applyFill="1" applyBorder="1" applyAlignment="1" applyProtection="1">
      <alignment vertical="top"/>
      <protection locked="0"/>
    </xf>
    <xf numFmtId="0" fontId="9" fillId="15" borderId="52" xfId="0" applyFont="1" applyFill="1" applyBorder="1" applyProtection="1">
      <protection locked="0"/>
    </xf>
    <xf numFmtId="0" fontId="9" fillId="15" borderId="56" xfId="0" applyFont="1" applyFill="1" applyBorder="1" applyProtection="1">
      <protection locked="0"/>
    </xf>
    <xf numFmtId="177" fontId="9" fillId="0" borderId="24" xfId="7" applyNumberFormat="1" applyFont="1" applyFill="1" applyBorder="1" applyAlignment="1" applyProtection="1">
      <alignment horizontal="left" vertical="center"/>
      <protection locked="0"/>
    </xf>
    <xf numFmtId="9" fontId="9" fillId="0" borderId="18" xfId="2" applyFont="1" applyFill="1" applyBorder="1" applyAlignment="1" applyProtection="1">
      <alignment horizontal="left"/>
      <protection locked="0"/>
    </xf>
    <xf numFmtId="0" fontId="13" fillId="12" borderId="101" xfId="0" applyFont="1" applyFill="1" applyBorder="1" applyAlignment="1" applyProtection="1">
      <alignment horizontal="center" vertical="top" wrapText="1"/>
      <protection hidden="1"/>
    </xf>
    <xf numFmtId="170" fontId="9" fillId="23" borderId="0" xfId="7" applyNumberFormat="1" applyFont="1" applyFill="1" applyAlignment="1" applyProtection="1">
      <alignment horizontal="left"/>
      <protection locked="0"/>
    </xf>
    <xf numFmtId="170" fontId="13" fillId="13" borderId="52" xfId="7" applyNumberFormat="1" applyFont="1" applyFill="1" applyBorder="1" applyAlignment="1" applyProtection="1">
      <alignment horizontal="left"/>
    </xf>
    <xf numFmtId="170" fontId="13" fillId="13" borderId="56" xfId="7" applyNumberFormat="1" applyFont="1" applyFill="1" applyBorder="1" applyAlignment="1" applyProtection="1">
      <alignment horizontal="left"/>
    </xf>
    <xf numFmtId="0" fontId="13" fillId="24" borderId="52" xfId="7" applyFont="1" applyFill="1" applyBorder="1" applyAlignment="1" applyProtection="1">
      <alignment horizontal="left" indent="3"/>
    </xf>
    <xf numFmtId="0" fontId="13" fillId="24" borderId="54" xfId="7" applyFont="1" applyFill="1" applyBorder="1" applyAlignment="1" applyProtection="1">
      <alignment horizontal="left" indent="3"/>
    </xf>
    <xf numFmtId="0" fontId="13" fillId="24" borderId="56" xfId="7" applyFont="1" applyFill="1" applyBorder="1" applyAlignment="1" applyProtection="1">
      <alignment horizontal="left" indent="3"/>
    </xf>
    <xf numFmtId="0" fontId="9" fillId="5" borderId="56" xfId="7" applyFont="1" applyFill="1" applyBorder="1" applyAlignment="1" applyProtection="1">
      <alignment horizontal="centerContinuous"/>
    </xf>
    <xf numFmtId="0" fontId="9" fillId="0" borderId="0" xfId="7" applyFont="1" applyBorder="1" applyAlignment="1" applyProtection="1">
      <alignment horizontal="center"/>
      <protection locked="0"/>
    </xf>
    <xf numFmtId="0" fontId="18" fillId="23" borderId="0" xfId="7" applyFont="1" applyFill="1" applyAlignment="1" applyProtection="1">
      <alignment horizontal="centerContinuous"/>
      <protection locked="0"/>
    </xf>
    <xf numFmtId="170" fontId="9" fillId="0" borderId="42" xfId="7" applyNumberFormat="1" applyFont="1" applyBorder="1" applyAlignment="1" applyProtection="1">
      <alignment horizontal="left" vertical="center"/>
      <protection locked="0"/>
    </xf>
    <xf numFmtId="167" fontId="9" fillId="0" borderId="42" xfId="7" applyNumberFormat="1" applyFont="1" applyBorder="1" applyAlignment="1" applyProtection="1">
      <alignment horizontal="left" vertical="center"/>
      <protection locked="0"/>
    </xf>
    <xf numFmtId="170" fontId="9" fillId="0" borderId="115" xfId="7" applyNumberFormat="1" applyFont="1" applyBorder="1" applyAlignment="1" applyProtection="1">
      <alignment horizontal="left" vertical="center"/>
      <protection locked="0"/>
    </xf>
    <xf numFmtId="167" fontId="9" fillId="0" borderId="131" xfId="7" applyNumberFormat="1" applyFont="1" applyBorder="1" applyAlignment="1" applyProtection="1">
      <alignment horizontal="left" vertical="center"/>
      <protection locked="0"/>
    </xf>
    <xf numFmtId="170" fontId="9" fillId="0" borderId="81" xfId="7" applyNumberFormat="1" applyFont="1" applyBorder="1" applyAlignment="1" applyProtection="1">
      <alignment horizontal="left" vertical="center"/>
      <protection locked="0"/>
    </xf>
    <xf numFmtId="167" fontId="9" fillId="0" borderId="81" xfId="7" applyNumberFormat="1" applyFont="1" applyBorder="1" applyAlignment="1" applyProtection="1">
      <alignment horizontal="left" vertical="center"/>
      <protection locked="0"/>
    </xf>
    <xf numFmtId="170" fontId="9" fillId="0" borderId="23" xfId="7" applyNumberFormat="1" applyFont="1" applyBorder="1" applyAlignment="1" applyProtection="1">
      <alignment horizontal="center" vertical="center"/>
      <protection locked="0"/>
    </xf>
    <xf numFmtId="170" fontId="9" fillId="0" borderId="120" xfId="7" applyNumberFormat="1" applyFont="1" applyBorder="1" applyAlignment="1" applyProtection="1">
      <alignment horizontal="center" vertical="center"/>
      <protection locked="0"/>
    </xf>
    <xf numFmtId="170" fontId="9" fillId="3" borderId="42" xfId="7" applyNumberFormat="1" applyFont="1" applyFill="1" applyBorder="1" applyAlignment="1" applyProtection="1">
      <alignment vertical="center"/>
      <protection locked="0"/>
    </xf>
    <xf numFmtId="170" fontId="9" fillId="3" borderId="115" xfId="7" applyNumberFormat="1" applyFont="1" applyFill="1" applyBorder="1" applyAlignment="1" applyProtection="1">
      <alignment vertical="center"/>
      <protection locked="0"/>
    </xf>
    <xf numFmtId="170" fontId="9" fillId="3" borderId="81" xfId="7" applyNumberFormat="1" applyFont="1" applyFill="1" applyBorder="1" applyAlignment="1" applyProtection="1">
      <alignment vertical="center"/>
      <protection locked="0"/>
    </xf>
    <xf numFmtId="0" fontId="9" fillId="23" borderId="3" xfId="7" applyFont="1" applyFill="1" applyBorder="1" applyProtection="1">
      <protection locked="0"/>
    </xf>
    <xf numFmtId="0" fontId="9" fillId="14" borderId="0" xfId="7" applyFont="1" applyFill="1" applyProtection="1">
      <protection locked="0"/>
    </xf>
    <xf numFmtId="0" fontId="9" fillId="2" borderId="0" xfId="7" applyFont="1" applyFill="1" applyAlignment="1" applyProtection="1">
      <alignment horizontal="center"/>
      <protection locked="0"/>
    </xf>
    <xf numFmtId="0" fontId="9" fillId="14" borderId="0" xfId="7" applyFont="1" applyFill="1" applyAlignment="1" applyProtection="1">
      <alignment horizontal="center"/>
      <protection locked="0"/>
    </xf>
    <xf numFmtId="0" fontId="9" fillId="14" borderId="0" xfId="7" applyFont="1" applyFill="1" applyAlignment="1" applyProtection="1">
      <alignment horizontal="center" vertical="center"/>
      <protection locked="0"/>
    </xf>
    <xf numFmtId="0" fontId="9" fillId="23" borderId="3" xfId="7" applyFont="1" applyFill="1" applyBorder="1" applyAlignment="1" applyProtection="1">
      <alignment horizontal="center" wrapText="1"/>
      <protection locked="0"/>
    </xf>
    <xf numFmtId="0" fontId="9" fillId="23" borderId="3" xfId="7" applyFont="1" applyFill="1" applyBorder="1" applyAlignment="1" applyProtection="1">
      <alignment horizontal="center"/>
      <protection locked="0"/>
    </xf>
    <xf numFmtId="1" fontId="9" fillId="23" borderId="3" xfId="7" applyNumberFormat="1" applyFont="1" applyFill="1" applyBorder="1" applyAlignment="1" applyProtection="1">
      <alignment horizontal="center"/>
      <protection locked="0"/>
    </xf>
    <xf numFmtId="0" fontId="9" fillId="23" borderId="0" xfId="7" applyFont="1" applyFill="1" applyAlignment="1" applyProtection="1">
      <alignment vertical="center"/>
      <protection locked="0"/>
    </xf>
    <xf numFmtId="167" fontId="9" fillId="23" borderId="0" xfId="7" applyNumberFormat="1" applyFont="1" applyFill="1" applyAlignment="1" applyProtection="1">
      <alignment vertical="center"/>
      <protection locked="0"/>
    </xf>
    <xf numFmtId="167" fontId="9" fillId="23" borderId="0" xfId="7" applyNumberFormat="1" applyFont="1" applyFill="1" applyAlignment="1" applyProtection="1">
      <alignment horizontal="center" vertical="center"/>
      <protection locked="0"/>
    </xf>
    <xf numFmtId="165" fontId="9" fillId="23" borderId="0" xfId="7" applyNumberFormat="1" applyFont="1" applyFill="1" applyAlignment="1" applyProtection="1">
      <alignment horizontal="center" vertical="center"/>
      <protection locked="0"/>
    </xf>
    <xf numFmtId="0" fontId="9" fillId="23" borderId="0" xfId="7" applyFont="1" applyFill="1" applyAlignment="1" applyProtection="1">
      <alignment horizontal="center" vertical="center"/>
      <protection locked="0"/>
    </xf>
    <xf numFmtId="170" fontId="9" fillId="23" borderId="3" xfId="7" applyNumberFormat="1" applyFont="1" applyFill="1" applyBorder="1" applyAlignment="1" applyProtection="1">
      <alignment horizontal="center" vertical="top"/>
      <protection locked="0"/>
    </xf>
    <xf numFmtId="0" fontId="19" fillId="23" borderId="0" xfId="9" applyFont="1" applyFill="1" applyAlignment="1" applyProtection="1">
      <alignment vertical="center"/>
      <protection locked="0"/>
    </xf>
    <xf numFmtId="0" fontId="9" fillId="0" borderId="0" xfId="7" applyFont="1" applyAlignment="1" applyProtection="1">
      <alignment vertical="center"/>
      <protection locked="0"/>
    </xf>
    <xf numFmtId="1" fontId="9" fillId="23" borderId="0" xfId="7" applyNumberFormat="1" applyFont="1" applyFill="1" applyAlignment="1" applyProtection="1">
      <alignment horizontal="center" vertical="center"/>
      <protection locked="0"/>
    </xf>
    <xf numFmtId="1" fontId="9" fillId="23" borderId="0" xfId="7" applyNumberFormat="1" applyFont="1" applyFill="1" applyAlignment="1" applyProtection="1">
      <alignment vertical="center"/>
      <protection locked="0"/>
    </xf>
    <xf numFmtId="0" fontId="13" fillId="23" borderId="0" xfId="7" applyFont="1" applyFill="1" applyAlignment="1" applyProtection="1">
      <alignment horizontal="center" vertical="center"/>
      <protection locked="0"/>
    </xf>
    <xf numFmtId="167" fontId="9" fillId="0" borderId="42" xfId="7" applyNumberFormat="1" applyFont="1" applyBorder="1" applyAlignment="1" applyProtection="1">
      <alignment vertical="center"/>
      <protection locked="0"/>
    </xf>
    <xf numFmtId="170" fontId="9" fillId="3" borderId="80" xfId="7" applyNumberFormat="1" applyFont="1" applyFill="1" applyBorder="1" applyAlignment="1" applyProtection="1">
      <alignment vertical="center"/>
      <protection locked="0"/>
    </xf>
    <xf numFmtId="170" fontId="9" fillId="0" borderId="80" xfId="7" applyNumberFormat="1" applyFont="1" applyBorder="1" applyAlignment="1" applyProtection="1">
      <alignment horizontal="left" vertical="center"/>
      <protection locked="0"/>
    </xf>
    <xf numFmtId="170" fontId="9" fillId="3" borderId="13" xfId="7" applyNumberFormat="1" applyFont="1" applyFill="1" applyBorder="1" applyAlignment="1" applyProtection="1">
      <alignment vertical="center"/>
      <protection locked="0"/>
    </xf>
    <xf numFmtId="167" fontId="9" fillId="0" borderId="131" xfId="7" applyNumberFormat="1" applyFont="1" applyBorder="1" applyAlignment="1" applyProtection="1">
      <alignment vertical="center"/>
      <protection locked="0"/>
    </xf>
    <xf numFmtId="167" fontId="9" fillId="30" borderId="18" xfId="7" applyNumberFormat="1" applyFont="1" applyFill="1" applyBorder="1" applyAlignment="1" applyProtection="1">
      <alignment horizontal="center" vertical="center"/>
      <protection locked="0"/>
    </xf>
    <xf numFmtId="0" fontId="9" fillId="23" borderId="0" xfId="7" applyFont="1" applyFill="1" applyAlignment="1" applyProtection="1">
      <alignment horizontal="left" vertical="center"/>
      <protection locked="0"/>
    </xf>
    <xf numFmtId="170" fontId="9" fillId="0" borderId="4" xfId="7" applyNumberFormat="1" applyFont="1" applyBorder="1" applyAlignment="1" applyProtection="1">
      <alignment horizontal="left" vertical="center"/>
      <protection locked="0"/>
    </xf>
    <xf numFmtId="167" fontId="9" fillId="0" borderId="4" xfId="7" applyNumberFormat="1" applyFont="1" applyBorder="1" applyAlignment="1" applyProtection="1">
      <alignment horizontal="left" vertical="center"/>
      <protection locked="0"/>
    </xf>
    <xf numFmtId="0" fontId="9" fillId="2" borderId="0" xfId="7" applyFont="1" applyFill="1" applyAlignment="1" applyProtection="1">
      <alignment horizontal="left" vertical="center"/>
      <protection locked="0"/>
    </xf>
    <xf numFmtId="0" fontId="17" fillId="23" borderId="0" xfId="7" applyFont="1" applyFill="1" applyAlignment="1" applyProtection="1">
      <alignment horizontal="left" vertical="center"/>
      <protection locked="0"/>
    </xf>
    <xf numFmtId="0" fontId="17" fillId="23" borderId="0" xfId="7" applyFont="1" applyFill="1" applyAlignment="1" applyProtection="1">
      <alignment horizontal="center" vertical="center"/>
      <protection locked="0"/>
    </xf>
    <xf numFmtId="0" fontId="9" fillId="2" borderId="0" xfId="7" applyFont="1" applyFill="1" applyAlignment="1" applyProtection="1">
      <alignment vertical="center"/>
      <protection locked="0"/>
    </xf>
    <xf numFmtId="167" fontId="58" fillId="23" borderId="0" xfId="7" applyNumberFormat="1" applyFont="1" applyFill="1" applyAlignment="1" applyProtection="1">
      <alignment vertical="center"/>
      <protection locked="0"/>
    </xf>
    <xf numFmtId="167" fontId="59" fillId="8" borderId="0" xfId="0" applyNumberFormat="1" applyFont="1" applyFill="1" applyAlignment="1" applyProtection="1">
      <alignment horizontal="center" vertical="center"/>
      <protection locked="0" hidden="1"/>
    </xf>
    <xf numFmtId="0" fontId="8" fillId="8" borderId="0" xfId="0" applyFont="1" applyFill="1" applyProtection="1">
      <protection locked="0" hidden="1"/>
    </xf>
    <xf numFmtId="167" fontId="8" fillId="8" borderId="0" xfId="0" applyNumberFormat="1" applyFont="1" applyFill="1" applyProtection="1">
      <protection locked="0" hidden="1"/>
    </xf>
    <xf numFmtId="9" fontId="9" fillId="13" borderId="105" xfId="2" applyFont="1" applyFill="1" applyBorder="1" applyAlignment="1" applyProtection="1">
      <alignment horizontal="left" vertical="center"/>
      <protection locked="0" hidden="1"/>
    </xf>
    <xf numFmtId="0" fontId="8" fillId="8" borderId="0" xfId="0" applyFont="1" applyFill="1" applyAlignment="1" applyProtection="1">
      <alignment horizontal="center"/>
      <protection locked="0" hidden="1"/>
    </xf>
    <xf numFmtId="167" fontId="8" fillId="8" borderId="0" xfId="0" applyNumberFormat="1" applyFont="1" applyFill="1" applyAlignment="1" applyProtection="1">
      <alignment horizontal="center"/>
      <protection locked="0" hidden="1"/>
    </xf>
    <xf numFmtId="0" fontId="8" fillId="8" borderId="0" xfId="0" applyFont="1" applyFill="1" applyAlignment="1" applyProtection="1">
      <alignment vertical="center"/>
      <protection locked="0" hidden="1"/>
    </xf>
    <xf numFmtId="0" fontId="9" fillId="6" borderId="4" xfId="0" applyFont="1" applyFill="1" applyBorder="1" applyAlignment="1" applyProtection="1">
      <alignment horizontal="center" vertical="center" wrapText="1"/>
      <protection locked="0"/>
    </xf>
    <xf numFmtId="0" fontId="55" fillId="6" borderId="4" xfId="0" applyFont="1" applyFill="1" applyBorder="1" applyAlignment="1" applyProtection="1">
      <alignment horizontal="center" vertical="center" wrapText="1"/>
      <protection locked="0"/>
    </xf>
    <xf numFmtId="0" fontId="9" fillId="6" borderId="70" xfId="0" applyFont="1" applyFill="1" applyBorder="1" applyAlignment="1" applyProtection="1">
      <alignment horizontal="center" vertical="center" wrapText="1"/>
      <protection locked="0"/>
    </xf>
    <xf numFmtId="49" fontId="13" fillId="10" borderId="36" xfId="0" applyNumberFormat="1" applyFont="1" applyFill="1" applyBorder="1" applyAlignment="1" applyProtection="1">
      <alignment horizontal="center" vertical="center" wrapText="1"/>
      <protection locked="0"/>
    </xf>
    <xf numFmtId="49" fontId="13" fillId="10" borderId="21" xfId="0" applyNumberFormat="1" applyFont="1" applyFill="1" applyBorder="1" applyAlignment="1" applyProtection="1">
      <alignment horizontal="center" vertical="center" wrapText="1"/>
      <protection locked="0"/>
    </xf>
    <xf numFmtId="49" fontId="13" fillId="10" borderId="25" xfId="0" applyNumberFormat="1" applyFont="1" applyFill="1" applyBorder="1" applyAlignment="1" applyProtection="1">
      <alignment horizontal="center" vertical="center" wrapText="1"/>
      <protection locked="0"/>
    </xf>
    <xf numFmtId="165" fontId="9" fillId="8" borderId="74" xfId="7" applyNumberFormat="1" applyFont="1" applyFill="1" applyBorder="1" applyAlignment="1" applyProtection="1">
      <alignment horizontal="center" vertical="center"/>
      <protection locked="0"/>
    </xf>
    <xf numFmtId="1" fontId="9" fillId="8" borderId="74" xfId="7" applyNumberFormat="1" applyFont="1" applyFill="1" applyBorder="1" applyAlignment="1" applyProtection="1">
      <alignment horizontal="center" vertical="center"/>
      <protection locked="0"/>
    </xf>
    <xf numFmtId="168" fontId="9" fillId="8" borderId="74" xfId="7" applyNumberFormat="1" applyFont="1" applyFill="1" applyBorder="1" applyAlignment="1" applyProtection="1">
      <alignment horizontal="center" vertical="center"/>
      <protection locked="0"/>
    </xf>
    <xf numFmtId="2" fontId="9" fillId="8" borderId="74" xfId="7" applyNumberFormat="1" applyFont="1" applyFill="1" applyBorder="1" applyAlignment="1" applyProtection="1">
      <alignment horizontal="center" vertical="center"/>
      <protection locked="0"/>
    </xf>
    <xf numFmtId="10" fontId="9" fillId="8" borderId="74" xfId="7" applyNumberFormat="1" applyFont="1" applyFill="1" applyBorder="1" applyAlignment="1" applyProtection="1">
      <alignment horizontal="center" vertical="center"/>
      <protection locked="0"/>
    </xf>
    <xf numFmtId="165" fontId="9" fillId="8" borderId="37" xfId="7" applyNumberFormat="1" applyFont="1" applyFill="1" applyBorder="1" applyAlignment="1" applyProtection="1">
      <alignment horizontal="center" vertical="center"/>
      <protection locked="0"/>
    </xf>
    <xf numFmtId="166" fontId="9" fillId="8" borderId="37" xfId="7" applyNumberFormat="1" applyFont="1" applyFill="1" applyBorder="1" applyAlignment="1" applyProtection="1">
      <alignment horizontal="center" vertical="center"/>
      <protection locked="0"/>
    </xf>
    <xf numFmtId="170" fontId="13" fillId="8" borderId="71" xfId="7" applyNumberFormat="1" applyFont="1" applyFill="1" applyBorder="1" applyAlignment="1" applyProtection="1">
      <alignment horizontal="left" vertical="center"/>
      <protection locked="0"/>
    </xf>
    <xf numFmtId="0" fontId="9" fillId="8" borderId="78" xfId="7" applyFont="1" applyFill="1" applyBorder="1" applyAlignment="1" applyProtection="1">
      <alignment horizontal="left" vertical="center"/>
      <protection locked="0"/>
    </xf>
    <xf numFmtId="165" fontId="9" fillId="8" borderId="75" xfId="7" applyNumberFormat="1" applyFont="1" applyFill="1" applyBorder="1" applyAlignment="1" applyProtection="1">
      <alignment horizontal="center" vertical="center"/>
      <protection locked="0"/>
    </xf>
    <xf numFmtId="1" fontId="9" fillId="8" borderId="75" xfId="7" applyNumberFormat="1" applyFont="1" applyFill="1" applyBorder="1" applyAlignment="1" applyProtection="1">
      <alignment horizontal="center" vertical="center"/>
      <protection locked="0"/>
    </xf>
    <xf numFmtId="168" fontId="9" fillId="8" borderId="75" xfId="7" applyNumberFormat="1" applyFont="1" applyFill="1" applyBorder="1" applyAlignment="1" applyProtection="1">
      <alignment horizontal="center" vertical="center"/>
      <protection locked="0"/>
    </xf>
    <xf numFmtId="10" fontId="9" fillId="8" borderId="75" xfId="7" applyNumberFormat="1" applyFont="1" applyFill="1" applyBorder="1" applyAlignment="1" applyProtection="1">
      <alignment horizontal="center" vertical="center"/>
      <protection locked="0"/>
    </xf>
    <xf numFmtId="0" fontId="9" fillId="8" borderId="0" xfId="0" applyFont="1" applyFill="1" applyAlignment="1" applyProtection="1">
      <alignment horizontal="center" vertical="center"/>
      <protection locked="0"/>
    </xf>
    <xf numFmtId="0" fontId="60" fillId="8" borderId="0" xfId="0" applyFont="1" applyFill="1" applyAlignment="1" applyProtection="1">
      <alignment horizontal="right" vertical="center"/>
      <protection locked="0"/>
    </xf>
    <xf numFmtId="0" fontId="9" fillId="8" borderId="0" xfId="0" applyFont="1" applyFill="1" applyProtection="1">
      <protection locked="0"/>
    </xf>
    <xf numFmtId="167" fontId="9" fillId="8" borderId="0" xfId="0" applyNumberFormat="1" applyFont="1" applyFill="1" applyProtection="1">
      <protection locked="0"/>
    </xf>
    <xf numFmtId="0" fontId="9" fillId="8" borderId="0" xfId="0" applyFont="1" applyFill="1" applyAlignment="1" applyProtection="1">
      <alignment horizontal="center"/>
      <protection locked="0"/>
    </xf>
    <xf numFmtId="0" fontId="13" fillId="9" borderId="52" xfId="0" applyFont="1" applyFill="1" applyBorder="1" applyProtection="1">
      <protection locked="0"/>
    </xf>
    <xf numFmtId="0" fontId="9" fillId="14" borderId="3" xfId="0" applyFont="1" applyFill="1" applyBorder="1" applyAlignment="1" applyProtection="1">
      <alignment vertical="center"/>
      <protection locked="0"/>
    </xf>
    <xf numFmtId="170" fontId="9" fillId="0" borderId="23" xfId="7" applyNumberFormat="1" applyFont="1" applyBorder="1" applyAlignment="1" applyProtection="1">
      <alignment horizontal="right" vertical="center"/>
      <protection locked="0"/>
    </xf>
    <xf numFmtId="170" fontId="9" fillId="3" borderId="101" xfId="7" applyNumberFormat="1" applyFont="1" applyFill="1" applyBorder="1" applyAlignment="1" applyProtection="1">
      <alignment vertical="center"/>
      <protection locked="0"/>
    </xf>
    <xf numFmtId="170" fontId="9" fillId="0" borderId="101" xfId="7" applyNumberFormat="1" applyFont="1" applyBorder="1" applyAlignment="1" applyProtection="1">
      <alignment horizontal="left" vertical="center"/>
      <protection locked="0"/>
    </xf>
    <xf numFmtId="170" fontId="9" fillId="0" borderId="120" xfId="7" applyNumberFormat="1" applyFont="1" applyBorder="1" applyAlignment="1" applyProtection="1">
      <alignment horizontal="right" vertical="center"/>
      <protection locked="0"/>
    </xf>
    <xf numFmtId="0" fontId="9" fillId="14" borderId="0" xfId="7" applyFont="1" applyFill="1" applyAlignment="1" applyProtection="1">
      <alignment vertical="center"/>
      <protection locked="0"/>
    </xf>
    <xf numFmtId="167" fontId="9" fillId="14" borderId="0" xfId="7" applyNumberFormat="1" applyFont="1" applyFill="1" applyAlignment="1" applyProtection="1">
      <alignment vertical="center"/>
      <protection locked="0"/>
    </xf>
    <xf numFmtId="0" fontId="19" fillId="14" borderId="0" xfId="9" applyFont="1" applyFill="1" applyAlignment="1" applyProtection="1">
      <alignment vertical="center"/>
      <protection locked="0"/>
    </xf>
    <xf numFmtId="167" fontId="9" fillId="14" borderId="0" xfId="0" applyNumberFormat="1" applyFont="1" applyFill="1" applyAlignment="1" applyProtection="1">
      <alignment horizontal="left"/>
      <protection locked="0"/>
    </xf>
    <xf numFmtId="0" fontId="9" fillId="6" borderId="43" xfId="7" applyFont="1" applyFill="1" applyBorder="1" applyAlignment="1" applyProtection="1">
      <alignment horizontal="left"/>
      <protection locked="0"/>
    </xf>
    <xf numFmtId="0" fontId="9" fillId="6" borderId="77" xfId="7" applyFont="1" applyFill="1" applyBorder="1" applyAlignment="1" applyProtection="1">
      <alignment horizontal="left"/>
      <protection locked="0"/>
    </xf>
    <xf numFmtId="0" fontId="9" fillId="18" borderId="14" xfId="0" applyFont="1" applyFill="1" applyBorder="1" applyAlignment="1" applyProtection="1">
      <alignment horizontal="left" vertical="center"/>
      <protection locked="0"/>
    </xf>
    <xf numFmtId="0" fontId="13" fillId="18" borderId="13" xfId="0" applyFont="1" applyFill="1" applyBorder="1" applyAlignment="1" applyProtection="1">
      <alignment horizontal="right"/>
      <protection locked="0"/>
    </xf>
    <xf numFmtId="0" fontId="0" fillId="14" borderId="3" xfId="0" applyFill="1" applyBorder="1" applyProtection="1">
      <protection locked="0"/>
    </xf>
    <xf numFmtId="167" fontId="0" fillId="14" borderId="3" xfId="0" applyNumberFormat="1" applyFill="1" applyBorder="1" applyProtection="1">
      <protection locked="0"/>
    </xf>
    <xf numFmtId="0" fontId="2" fillId="8" borderId="0" xfId="0" applyFont="1" applyFill="1" applyAlignment="1" applyProtection="1">
      <alignment horizontal="left"/>
      <protection locked="0"/>
    </xf>
    <xf numFmtId="0" fontId="2" fillId="23" borderId="0" xfId="0" applyFont="1" applyFill="1" applyAlignment="1">
      <alignment horizontal="left" vertical="top" wrapText="1"/>
    </xf>
    <xf numFmtId="1" fontId="9" fillId="15" borderId="0" xfId="5" applyNumberFormat="1" applyFont="1" applyFill="1" applyAlignment="1" applyProtection="1">
      <alignment horizontal="center" vertical="center"/>
    </xf>
    <xf numFmtId="1" fontId="9" fillId="15" borderId="59" xfId="5" applyNumberFormat="1" applyFont="1" applyFill="1" applyBorder="1" applyAlignment="1" applyProtection="1">
      <alignment horizontal="center" vertical="center"/>
    </xf>
    <xf numFmtId="49" fontId="9" fillId="24" borderId="13" xfId="5" applyNumberFormat="1" applyFont="1" applyFill="1" applyBorder="1" applyAlignment="1" applyProtection="1">
      <alignment horizontal="center" vertical="center"/>
    </xf>
    <xf numFmtId="49" fontId="9" fillId="24" borderId="45" xfId="5" applyNumberFormat="1" applyFont="1" applyFill="1" applyBorder="1" applyAlignment="1" applyProtection="1">
      <alignment horizontal="center" vertical="center"/>
    </xf>
    <xf numFmtId="0" fontId="13" fillId="18" borderId="17" xfId="0" applyFont="1" applyFill="1" applyBorder="1" applyAlignment="1" applyProtection="1">
      <alignment horizontal="center" vertical="center" wrapText="1"/>
      <protection locked="0"/>
    </xf>
    <xf numFmtId="0" fontId="13" fillId="18" borderId="81" xfId="0" applyFont="1" applyFill="1" applyBorder="1" applyAlignment="1" applyProtection="1">
      <alignment horizontal="center" vertical="center" wrapText="1"/>
      <protection locked="0"/>
    </xf>
    <xf numFmtId="0" fontId="2" fillId="14" borderId="99" xfId="0" applyFont="1" applyFill="1" applyBorder="1" applyAlignment="1" applyProtection="1">
      <alignment horizontal="center"/>
    </xf>
    <xf numFmtId="1" fontId="39" fillId="24" borderId="38" xfId="7" applyNumberFormat="1" applyFont="1" applyFill="1" applyBorder="1" applyAlignment="1" applyProtection="1">
      <alignment horizontal="center" vertical="center"/>
    </xf>
    <xf numFmtId="1" fontId="39" fillId="24" borderId="58" xfId="7" applyNumberFormat="1" applyFont="1" applyFill="1" applyBorder="1" applyAlignment="1" applyProtection="1">
      <alignment horizontal="center" vertical="center"/>
    </xf>
    <xf numFmtId="0" fontId="9" fillId="24" borderId="52" xfId="7" applyFont="1" applyFill="1" applyBorder="1" applyAlignment="1" applyProtection="1">
      <alignment horizontal="left" vertical="center"/>
    </xf>
    <xf numFmtId="0" fontId="9" fillId="24" borderId="70" xfId="7" applyFont="1" applyFill="1" applyBorder="1" applyAlignment="1" applyProtection="1">
      <alignment horizontal="left" vertical="center"/>
    </xf>
    <xf numFmtId="0" fontId="9" fillId="24" borderId="41" xfId="7" applyFont="1" applyFill="1" applyBorder="1" applyAlignment="1" applyProtection="1">
      <alignment horizontal="left" vertical="center"/>
    </xf>
    <xf numFmtId="0" fontId="9" fillId="24" borderId="56" xfId="7" applyFont="1" applyFill="1" applyBorder="1" applyAlignment="1" applyProtection="1">
      <alignment horizontal="left" vertical="center"/>
    </xf>
    <xf numFmtId="0" fontId="9" fillId="24" borderId="28" xfId="7" applyFont="1" applyFill="1" applyBorder="1" applyAlignment="1" applyProtection="1">
      <alignment horizontal="left" vertical="center"/>
    </xf>
    <xf numFmtId="0" fontId="9" fillId="24" borderId="57" xfId="7" applyFont="1" applyFill="1" applyBorder="1" applyAlignment="1" applyProtection="1">
      <alignment horizontal="left" vertical="center"/>
    </xf>
    <xf numFmtId="0" fontId="9" fillId="24" borderId="31" xfId="7" applyFont="1" applyFill="1" applyBorder="1" applyAlignment="1" applyProtection="1">
      <alignment horizontal="left" vertical="center"/>
    </xf>
    <xf numFmtId="0" fontId="9" fillId="24" borderId="4" xfId="7" applyFont="1" applyFill="1" applyBorder="1" applyAlignment="1" applyProtection="1">
      <alignment horizontal="left" vertical="center"/>
    </xf>
    <xf numFmtId="0" fontId="9" fillId="24" borderId="15" xfId="7" applyFont="1" applyFill="1" applyBorder="1" applyAlignment="1" applyProtection="1">
      <alignment horizontal="left" vertical="center"/>
    </xf>
    <xf numFmtId="171" fontId="8" fillId="23" borderId="0" xfId="7" applyNumberFormat="1" applyFont="1" applyFill="1" applyAlignment="1" applyProtection="1">
      <alignment horizontal="center" vertical="top"/>
    </xf>
    <xf numFmtId="0" fontId="9" fillId="24" borderId="79" xfId="7" applyFont="1" applyFill="1" applyBorder="1" applyAlignment="1" applyProtection="1">
      <alignment horizontal="center" vertical="top" wrapText="1"/>
    </xf>
    <xf numFmtId="0" fontId="9" fillId="24" borderId="12" xfId="7" applyFont="1" applyFill="1" applyBorder="1" applyAlignment="1" applyProtection="1">
      <alignment horizontal="center" vertical="top" wrapText="1"/>
    </xf>
    <xf numFmtId="0" fontId="13" fillId="24" borderId="31" xfId="7" applyFont="1" applyFill="1" applyBorder="1" applyAlignment="1" applyProtection="1">
      <alignment horizontal="center"/>
    </xf>
    <xf numFmtId="0" fontId="13" fillId="24" borderId="4" xfId="7" applyFont="1" applyFill="1" applyBorder="1" applyAlignment="1" applyProtection="1">
      <alignment horizontal="center"/>
    </xf>
    <xf numFmtId="0" fontId="8" fillId="23" borderId="0" xfId="7" applyFont="1" applyFill="1" applyAlignment="1" applyProtection="1">
      <alignment horizontal="right" vertical="center" wrapText="1"/>
    </xf>
    <xf numFmtId="0" fontId="8" fillId="23" borderId="55" xfId="7" applyFont="1" applyFill="1" applyBorder="1" applyAlignment="1" applyProtection="1">
      <alignment horizontal="right" vertical="center" wrapText="1"/>
    </xf>
    <xf numFmtId="0" fontId="8" fillId="23" borderId="0" xfId="7" applyFont="1" applyFill="1" applyAlignment="1" applyProtection="1">
      <alignment horizontal="right" vertical="top"/>
    </xf>
    <xf numFmtId="0" fontId="8" fillId="23" borderId="55" xfId="7" applyFont="1" applyFill="1" applyBorder="1" applyAlignment="1" applyProtection="1">
      <alignment horizontal="right" vertical="top"/>
    </xf>
    <xf numFmtId="0" fontId="13" fillId="0" borderId="0" xfId="8" applyFont="1" applyBorder="1" applyAlignment="1" applyProtection="1">
      <alignment horizontal="left"/>
    </xf>
    <xf numFmtId="0" fontId="13" fillId="0" borderId="55" xfId="8" applyFont="1" applyBorder="1" applyAlignment="1" applyProtection="1">
      <alignment horizontal="left"/>
    </xf>
    <xf numFmtId="0" fontId="13" fillId="0" borderId="0" xfId="7" applyFont="1" applyBorder="1" applyAlignment="1" applyProtection="1">
      <alignment horizontal="left"/>
    </xf>
    <xf numFmtId="0" fontId="13" fillId="0" borderId="55" xfId="7" applyFont="1" applyBorder="1" applyAlignment="1" applyProtection="1">
      <alignment horizontal="left"/>
    </xf>
    <xf numFmtId="0" fontId="13" fillId="0" borderId="28" xfId="7" applyFont="1" applyBorder="1" applyAlignment="1" applyProtection="1">
      <alignment horizontal="left"/>
    </xf>
    <xf numFmtId="0" fontId="13" fillId="0" borderId="57" xfId="7" applyFont="1" applyBorder="1" applyAlignment="1" applyProtection="1">
      <alignment horizontal="left"/>
    </xf>
    <xf numFmtId="0" fontId="7" fillId="8" borderId="98" xfId="0" applyFont="1" applyFill="1" applyBorder="1" applyAlignment="1" applyProtection="1">
      <alignment horizontal="center" vertical="center"/>
      <protection hidden="1"/>
    </xf>
    <xf numFmtId="0" fontId="7" fillId="8" borderId="99" xfId="0" applyFont="1" applyFill="1" applyBorder="1" applyAlignment="1" applyProtection="1">
      <alignment horizontal="center" vertical="center"/>
      <protection hidden="1"/>
    </xf>
    <xf numFmtId="0" fontId="9" fillId="8" borderId="3" xfId="0" applyFont="1" applyFill="1" applyBorder="1" applyAlignment="1" applyProtection="1">
      <alignment horizontal="left" vertical="center" indent="2"/>
      <protection hidden="1"/>
    </xf>
    <xf numFmtId="0" fontId="9" fillId="8" borderId="0" xfId="0" applyFont="1" applyFill="1" applyAlignment="1" applyProtection="1">
      <alignment horizontal="left" vertical="center" indent="2"/>
      <protection hidden="1"/>
    </xf>
    <xf numFmtId="0" fontId="13" fillId="8" borderId="3" xfId="0" applyFont="1" applyFill="1" applyBorder="1" applyAlignment="1" applyProtection="1">
      <alignment horizontal="left" vertical="center" wrapText="1" indent="2"/>
      <protection hidden="1"/>
    </xf>
    <xf numFmtId="0" fontId="13" fillId="8" borderId="0" xfId="0" applyFont="1" applyFill="1" applyAlignment="1" applyProtection="1">
      <alignment horizontal="left" vertical="center" wrapText="1" indent="2"/>
      <protection hidden="1"/>
    </xf>
    <xf numFmtId="0" fontId="13" fillId="15" borderId="22" xfId="0" applyFont="1" applyFill="1" applyBorder="1" applyAlignment="1" applyProtection="1">
      <alignment horizontal="center" vertical="center"/>
      <protection locked="0" hidden="1"/>
    </xf>
    <xf numFmtId="0" fontId="13" fillId="15" borderId="104" xfId="0" applyFont="1" applyFill="1" applyBorder="1" applyAlignment="1" applyProtection="1">
      <alignment horizontal="center" vertical="center"/>
      <protection locked="0" hidden="1"/>
    </xf>
    <xf numFmtId="0" fontId="9" fillId="8" borderId="0" xfId="0" applyFont="1" applyFill="1" applyAlignment="1" applyProtection="1">
      <alignment horizontal="left" vertical="center" wrapText="1" indent="1"/>
      <protection hidden="1"/>
    </xf>
    <xf numFmtId="0" fontId="13" fillId="12" borderId="101" xfId="0" applyFont="1" applyFill="1" applyBorder="1" applyAlignment="1" applyProtection="1">
      <alignment horizontal="center" vertical="top" wrapText="1"/>
      <protection hidden="1"/>
    </xf>
    <xf numFmtId="0" fontId="13" fillId="13" borderId="22" xfId="0" applyFont="1" applyFill="1" applyBorder="1" applyAlignment="1" applyProtection="1">
      <alignment horizontal="center" vertical="center"/>
      <protection locked="0" hidden="1"/>
    </xf>
    <xf numFmtId="0" fontId="13" fillId="13" borderId="104" xfId="0" applyFont="1" applyFill="1" applyBorder="1" applyAlignment="1" applyProtection="1">
      <alignment horizontal="center" vertical="center"/>
      <protection locked="0" hidden="1"/>
    </xf>
    <xf numFmtId="174" fontId="1" fillId="8" borderId="0" xfId="0" applyNumberFormat="1" applyFont="1" applyFill="1" applyAlignment="1" applyProtection="1">
      <alignment horizontal="center" vertical="center"/>
      <protection locked="0" hidden="1"/>
    </xf>
    <xf numFmtId="0" fontId="13" fillId="8" borderId="111" xfId="0" applyFont="1" applyFill="1" applyBorder="1" applyAlignment="1" applyProtection="1">
      <alignment horizontal="right" vertical="center"/>
    </xf>
    <xf numFmtId="0" fontId="13" fillId="8" borderId="111" xfId="0" applyFont="1" applyFill="1" applyBorder="1" applyAlignment="1" applyProtection="1">
      <alignment horizontal="left" vertical="center"/>
    </xf>
    <xf numFmtId="0" fontId="13" fillId="8" borderId="28" xfId="0" applyFont="1" applyFill="1" applyBorder="1" applyAlignment="1" applyProtection="1">
      <alignment horizontal="left" vertical="top"/>
    </xf>
    <xf numFmtId="0" fontId="13" fillId="8" borderId="57" xfId="0" applyFont="1" applyFill="1" applyBorder="1" applyAlignment="1" applyProtection="1">
      <alignment horizontal="left" vertical="top"/>
    </xf>
    <xf numFmtId="0" fontId="13" fillId="8" borderId="70" xfId="0" applyFont="1" applyFill="1" applyBorder="1" applyAlignment="1" applyProtection="1">
      <alignment horizontal="right" vertical="center"/>
      <protection locked="0"/>
    </xf>
    <xf numFmtId="49" fontId="13" fillId="0" borderId="88" xfId="0" applyNumberFormat="1" applyFont="1" applyBorder="1" applyAlignment="1" applyProtection="1">
      <alignment horizontal="center" vertical="center" wrapText="1"/>
    </xf>
    <xf numFmtId="49" fontId="13" fillId="0" borderId="89" xfId="0" applyNumberFormat="1" applyFont="1" applyBorder="1" applyAlignment="1" applyProtection="1">
      <alignment horizontal="center" vertical="center" wrapText="1"/>
    </xf>
    <xf numFmtId="0" fontId="13" fillId="8" borderId="31" xfId="0" applyFont="1" applyFill="1" applyBorder="1" applyAlignment="1" applyProtection="1">
      <alignment horizontal="center" vertical="center" wrapText="1"/>
      <protection locked="0"/>
    </xf>
    <xf numFmtId="0" fontId="13" fillId="8" borderId="4" xfId="0" applyFont="1" applyFill="1" applyBorder="1" applyAlignment="1" applyProtection="1">
      <alignment horizontal="center" vertical="center" wrapText="1"/>
      <protection locked="0"/>
    </xf>
    <xf numFmtId="0" fontId="13" fillId="8" borderId="72" xfId="0" applyFont="1" applyFill="1" applyBorder="1" applyAlignment="1" applyProtection="1">
      <alignment horizontal="right" vertical="center" wrapText="1"/>
      <protection locked="0"/>
    </xf>
    <xf numFmtId="0" fontId="13" fillId="8" borderId="42" xfId="0" applyFont="1" applyFill="1" applyBorder="1" applyAlignment="1" applyProtection="1">
      <alignment horizontal="right" vertical="center" wrapText="1"/>
      <protection locked="0"/>
    </xf>
    <xf numFmtId="49" fontId="13" fillId="0" borderId="85" xfId="0" applyNumberFormat="1" applyFont="1" applyBorder="1" applyAlignment="1" applyProtection="1">
      <alignment horizontal="center" vertical="center" wrapText="1"/>
    </xf>
    <xf numFmtId="49" fontId="13" fillId="0" borderId="47" xfId="0" applyNumberFormat="1" applyFont="1" applyBorder="1" applyAlignment="1" applyProtection="1">
      <alignment horizontal="center" vertical="center" wrapText="1"/>
    </xf>
    <xf numFmtId="49" fontId="13" fillId="0" borderId="86" xfId="0" applyNumberFormat="1" applyFont="1" applyBorder="1" applyAlignment="1" applyProtection="1">
      <alignment horizontal="center" vertical="center" wrapText="1"/>
    </xf>
    <xf numFmtId="49" fontId="13" fillId="0" borderId="50" xfId="0" applyNumberFormat="1" applyFont="1" applyBorder="1" applyAlignment="1" applyProtection="1">
      <alignment horizontal="center" vertical="center" wrapText="1"/>
    </xf>
    <xf numFmtId="49" fontId="13" fillId="0" borderId="87" xfId="0" applyNumberFormat="1" applyFont="1" applyBorder="1" applyAlignment="1" applyProtection="1">
      <alignment horizontal="center" vertical="center" wrapText="1"/>
    </xf>
    <xf numFmtId="49" fontId="13" fillId="0" borderId="49" xfId="0" applyNumberFormat="1" applyFont="1" applyBorder="1" applyAlignment="1" applyProtection="1">
      <alignment horizontal="center" vertical="center" wrapText="1"/>
    </xf>
    <xf numFmtId="0" fontId="9" fillId="20" borderId="31" xfId="7" applyFont="1" applyFill="1" applyBorder="1" applyAlignment="1" applyProtection="1">
      <alignment horizontal="center" vertical="center"/>
    </xf>
    <xf numFmtId="0" fontId="9" fillId="20" borderId="4" xfId="7" applyFont="1" applyFill="1" applyBorder="1" applyAlignment="1" applyProtection="1">
      <alignment horizontal="center" vertical="center"/>
    </xf>
    <xf numFmtId="0" fontId="9" fillId="20" borderId="15" xfId="7" applyFont="1" applyFill="1" applyBorder="1" applyAlignment="1" applyProtection="1">
      <alignment horizontal="center" vertical="center"/>
    </xf>
    <xf numFmtId="0" fontId="2" fillId="8" borderId="0" xfId="0" applyFont="1" applyFill="1" applyAlignment="1">
      <alignment horizontal="right"/>
    </xf>
    <xf numFmtId="0" fontId="0" fillId="8" borderId="0" xfId="0" applyFill="1" applyAlignment="1">
      <alignment horizontal="right"/>
    </xf>
  </cellXfs>
  <cellStyles count="12">
    <cellStyle name="Komma" xfId="1" builtinId="3"/>
    <cellStyle name="Link" xfId="11" builtinId="8"/>
    <cellStyle name="Prozent" xfId="2" builtinId="5"/>
    <cellStyle name="Prozent 2" xfId="3" xr:uid="{00000000-0005-0000-0000-000003000000}"/>
    <cellStyle name="Standard" xfId="0" builtinId="0"/>
    <cellStyle name="Standard 2" xfId="10" xr:uid="{00000000-0005-0000-0000-000005000000}"/>
    <cellStyle name="Standard_BCS" xfId="4" xr:uid="{00000000-0005-0000-0000-000006000000}"/>
    <cellStyle name="Standard_Fumitab (2)" xfId="5" xr:uid="{00000000-0005-0000-0000-000007000000}"/>
    <cellStyle name="Standard_KF_Milch" xfId="6" xr:uid="{00000000-0005-0000-0000-000008000000}"/>
    <cellStyle name="Standard_Ration Milch (2)" xfId="7" xr:uid="{00000000-0005-0000-0000-000009000000}"/>
    <cellStyle name="Standard_Ration Milch (2)_1" xfId="8" xr:uid="{00000000-0005-0000-0000-00000A000000}"/>
    <cellStyle name="Standard_Ration Milch (3)" xfId="9" xr:uid="{00000000-0005-0000-0000-00000B000000}"/>
  </cellStyles>
  <dxfs count="72">
    <dxf>
      <fill>
        <patternFill>
          <bgColor rgb="FFFF0000"/>
        </patternFill>
      </fill>
    </dxf>
    <dxf>
      <fill>
        <patternFill>
          <bgColor rgb="FF92D050"/>
        </patternFill>
      </fill>
    </dxf>
    <dxf>
      <fill>
        <patternFill>
          <bgColor rgb="FFFF0000"/>
        </patternFill>
      </fill>
    </dxf>
    <dxf>
      <font>
        <condense val="0"/>
        <extend val="0"/>
        <color indexed="22"/>
      </font>
    </dxf>
    <dxf>
      <font>
        <condense val="0"/>
        <extend val="0"/>
        <color indexed="22"/>
      </font>
    </dxf>
    <dxf>
      <font>
        <condense val="0"/>
        <extend val="0"/>
        <color indexed="22"/>
      </font>
    </dxf>
    <dxf>
      <fill>
        <patternFill>
          <bgColor rgb="FF00B050"/>
        </patternFill>
      </fill>
    </dxf>
    <dxf>
      <fill>
        <patternFill>
          <bgColor rgb="FF00B050"/>
        </patternFill>
      </fill>
    </dxf>
    <dxf>
      <fill>
        <patternFill>
          <bgColor rgb="FF92D050"/>
        </patternFill>
      </fill>
    </dxf>
    <dxf>
      <font>
        <color theme="1"/>
      </font>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patternType="solid">
          <bgColor rgb="FFFFFFDD"/>
        </patternFill>
      </fill>
    </dxf>
    <dxf>
      <font>
        <color rgb="FFFF0000"/>
      </font>
      <fill>
        <patternFill patternType="solid">
          <bgColor rgb="FFFFFFDD"/>
        </patternFill>
      </fill>
    </dxf>
    <dxf>
      <font>
        <color theme="1"/>
      </font>
    </dxf>
    <dxf>
      <font>
        <color rgb="FF9C0006"/>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strike val="0"/>
        <color rgb="FFFFFF00"/>
      </font>
      <fill>
        <patternFill>
          <bgColor rgb="FFFF0000"/>
        </patternFill>
      </fill>
    </dxf>
    <dxf>
      <fill>
        <patternFill>
          <bgColor rgb="FFE6E6E6"/>
        </patternFill>
      </fill>
    </dxf>
    <dxf>
      <fill>
        <patternFill>
          <bgColor rgb="FFE6E6E6"/>
        </patternFill>
      </fill>
    </dxf>
    <dxf>
      <fill>
        <patternFill>
          <bgColor rgb="FFFFFF00"/>
        </patternFill>
      </fill>
    </dxf>
    <dxf>
      <fill>
        <patternFill>
          <bgColor rgb="FF92D050"/>
        </patternFill>
      </fill>
    </dxf>
    <dxf>
      <fill>
        <patternFill>
          <bgColor rgb="FFFF00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ill>
        <patternFill>
          <bgColor rgb="FF00B050"/>
        </patternFill>
      </fill>
    </dxf>
    <dxf>
      <font>
        <condense val="0"/>
        <extend val="0"/>
        <color indexed="13"/>
      </font>
      <fill>
        <patternFill>
          <bgColor indexed="10"/>
        </patternFill>
      </fill>
      <border>
        <left style="thin">
          <color indexed="13"/>
        </left>
        <right style="thin">
          <color indexed="13"/>
        </right>
        <top style="thin">
          <color indexed="13"/>
        </top>
        <bottom style="thin">
          <color indexed="13"/>
        </bottom>
      </border>
    </dxf>
    <dxf>
      <font>
        <condense val="0"/>
        <extend val="0"/>
        <color indexed="16"/>
      </font>
      <fill>
        <patternFill>
          <bgColor indexed="11"/>
        </patternFill>
      </fill>
      <border>
        <left style="thin">
          <color indexed="18"/>
        </left>
        <right style="thin">
          <color indexed="18"/>
        </right>
        <top style="thin">
          <color indexed="18"/>
        </top>
        <bottom style="thin">
          <color indexed="18"/>
        </bottom>
      </border>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50"/>
        </patternFill>
      </fill>
    </dxf>
    <dxf>
      <font>
        <b val="0"/>
        <i val="0"/>
      </font>
      <fill>
        <patternFill patternType="none">
          <bgColor auto="1"/>
        </patternFill>
      </fill>
      <border diagonalUp="0" diagonalDown="0">
        <left/>
        <right/>
        <top/>
        <bottom/>
        <vertical/>
        <horizontal/>
      </border>
    </dxf>
    <dxf>
      <font>
        <b val="0"/>
        <i val="0"/>
        <strike val="0"/>
      </font>
      <border diagonalUp="0" diagonalDown="0">
        <left/>
        <right/>
        <top/>
        <bottom/>
        <vertical/>
        <horizontal/>
      </border>
    </dxf>
    <dxf>
      <font>
        <b val="0"/>
        <i/>
      </font>
      <border diagonalUp="0" diagonalDown="0">
        <left/>
        <right style="thin">
          <color auto="1"/>
        </right>
        <top/>
        <bottom/>
        <vertical/>
        <horizontal/>
      </border>
    </dxf>
    <dxf>
      <font>
        <b/>
        <i val="0"/>
      </font>
      <border diagonalUp="0" diagonalDown="0">
        <left/>
        <right/>
        <top/>
        <bottom style="medium">
          <color auto="1"/>
        </bottom>
        <vertical/>
        <horizontal/>
      </border>
    </dxf>
    <dxf>
      <font>
        <b val="0"/>
        <i val="0"/>
        <strike val="0"/>
      </font>
    </dxf>
  </dxfs>
  <tableStyles count="1" defaultTableStyle="TableStyleMedium2" defaultPivotStyle="PivotStyleLight16">
    <tableStyle name="Tabellenformat 1" pivot="0" count="5" xr9:uid="{00000000-0011-0000-FFFF-FFFF00000000}">
      <tableStyleElement type="wholeTable" dxfId="71"/>
      <tableStyleElement type="headerRow" dxfId="70"/>
      <tableStyleElement type="firstColumn" dxfId="69"/>
      <tableStyleElement type="firstColumnStripe" dxfId="68"/>
      <tableStyleElement type="secondColumnStripe" dxfId="6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E0"/>
      <color rgb="FFFFFFCC"/>
      <color rgb="FFC3EBF5"/>
      <color rgb="FFF9F9E7"/>
      <color rgb="FFE6E6E6"/>
      <color rgb="FF33CC33"/>
      <color rgb="FFFFFFDD"/>
      <color rgb="FF2AFFF0"/>
      <color rgb="FFD9D9D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2"/>
          <c:order val="2"/>
          <c:tx>
            <c:strRef>
              <c:f>'Zuteilung-Milchleistungsfutter'!$F$20</c:f>
              <c:strCache>
                <c:ptCount val="1"/>
                <c:pt idx="0">
                  <c:v>TM-Aufnahme</c:v>
                </c:pt>
              </c:strCache>
            </c:strRef>
          </c:tx>
          <c:spPr>
            <a:solidFill>
              <a:srgbClr val="FFFF00"/>
            </a:solidFill>
            <a:ln w="28575">
              <a:noFill/>
            </a:ln>
          </c:spPr>
          <c:cat>
            <c:numRef>
              <c:f>'Zuteilung-Milchleistungsfutter'!$A$21:$A$49</c:f>
              <c:numCache>
                <c:formatCode>0\ "kg"</c:formatCode>
                <c:ptCount val="2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numCache>
            </c:numRef>
          </c:cat>
          <c:val>
            <c:numRef>
              <c:f>'Zuteilung-Milchleistungsfutter'!$F$21:$F$49</c:f>
              <c:numCache>
                <c:formatCode>0.0\ "kg"</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2FB4-4FFB-B569-528C9EB3DA07}"/>
            </c:ext>
          </c:extLst>
        </c:ser>
        <c:ser>
          <c:idx val="3"/>
          <c:order val="3"/>
          <c:tx>
            <c:strRef>
              <c:f>'Zuteilung-Milchleistungsfutter'!$G$20</c:f>
              <c:strCache>
                <c:ptCount val="1"/>
                <c:pt idx="0">
                  <c:v>TM-Trogration</c:v>
                </c:pt>
              </c:strCache>
            </c:strRef>
          </c:tx>
          <c:spPr>
            <a:solidFill>
              <a:srgbClr val="92D050"/>
            </a:solidFill>
            <a:ln w="28575">
              <a:noFill/>
            </a:ln>
          </c:spPr>
          <c:cat>
            <c:numRef>
              <c:f>'Zuteilung-Milchleistungsfutter'!$A$21:$A$49</c:f>
              <c:numCache>
                <c:formatCode>0\ "kg"</c:formatCode>
                <c:ptCount val="2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numCache>
            </c:numRef>
          </c:cat>
          <c:val>
            <c:numRef>
              <c:f>'Zuteilung-Milchleistungsfutter'!$G$21:$G$49</c:f>
              <c:numCache>
                <c:formatCode>0.0\ "kg"</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1-2FB4-4FFB-B569-528C9EB3DA07}"/>
            </c:ext>
          </c:extLst>
        </c:ser>
        <c:ser>
          <c:idx val="0"/>
          <c:order val="0"/>
          <c:tx>
            <c:strRef>
              <c:f>'Zuteilung-Milchleistungsfutter'!$F$20</c:f>
              <c:strCache>
                <c:ptCount val="1"/>
                <c:pt idx="0">
                  <c:v>TM-Aufnahme</c:v>
                </c:pt>
              </c:strCache>
            </c:strRef>
          </c:tx>
          <c:spPr>
            <a:solidFill>
              <a:srgbClr val="FFFF00"/>
            </a:solidFill>
            <a:ln w="28575">
              <a:noFill/>
            </a:ln>
          </c:spPr>
          <c:cat>
            <c:numRef>
              <c:f>'Zuteilung-Milchleistungsfutter'!$A$21:$A$49</c:f>
              <c:numCache>
                <c:formatCode>0\ "kg"</c:formatCode>
                <c:ptCount val="2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numCache>
            </c:numRef>
          </c:cat>
          <c:val>
            <c:numRef>
              <c:f>'Zuteilung-Milchleistungsfutter'!$F$21:$F$49</c:f>
              <c:numCache>
                <c:formatCode>0.0\ "kg"</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2-2FB4-4FFB-B569-528C9EB3DA07}"/>
            </c:ext>
          </c:extLst>
        </c:ser>
        <c:ser>
          <c:idx val="1"/>
          <c:order val="1"/>
          <c:tx>
            <c:strRef>
              <c:f>'Zuteilung-Milchleistungsfutter'!$G$20</c:f>
              <c:strCache>
                <c:ptCount val="1"/>
                <c:pt idx="0">
                  <c:v>TM-Trogration</c:v>
                </c:pt>
              </c:strCache>
            </c:strRef>
          </c:tx>
          <c:spPr>
            <a:solidFill>
              <a:srgbClr val="92D050"/>
            </a:solidFill>
            <a:ln w="28575">
              <a:noFill/>
            </a:ln>
          </c:spPr>
          <c:cat>
            <c:numRef>
              <c:f>'Zuteilung-Milchleistungsfutter'!$A$21:$A$49</c:f>
              <c:numCache>
                <c:formatCode>0\ "kg"</c:formatCode>
                <c:ptCount val="2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numCache>
            </c:numRef>
          </c:cat>
          <c:val>
            <c:numRef>
              <c:f>'Zuteilung-Milchleistungsfutter'!$H$21:$H$49</c:f>
              <c:numCache>
                <c:formatCode>0.0\ "kg"</c:formatCode>
                <c:ptCount val="29"/>
                <c:pt idx="0" formatCode="0.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3-2FB4-4FFB-B569-528C9EB3DA07}"/>
            </c:ext>
          </c:extLst>
        </c:ser>
        <c:dLbls>
          <c:showLegendKey val="0"/>
          <c:showVal val="0"/>
          <c:showCatName val="0"/>
          <c:showSerName val="0"/>
          <c:showPercent val="0"/>
          <c:showBubbleSize val="0"/>
        </c:dLbls>
        <c:axId val="124585088"/>
        <c:axId val="124587008"/>
      </c:areaChart>
      <c:catAx>
        <c:axId val="124585088"/>
        <c:scaling>
          <c:orientation val="minMax"/>
        </c:scaling>
        <c:delete val="0"/>
        <c:axPos val="b"/>
        <c:title>
          <c:tx>
            <c:rich>
              <a:bodyPr/>
              <a:lstStyle/>
              <a:p>
                <a:pPr>
                  <a:defRPr/>
                </a:pPr>
                <a:r>
                  <a:rPr lang="en-US"/>
                  <a:t>Milchleistung</a:t>
                </a:r>
              </a:p>
            </c:rich>
          </c:tx>
          <c:overlay val="0"/>
        </c:title>
        <c:numFmt formatCode="0\ &quot;kg&quot;" sourceLinked="1"/>
        <c:majorTickMark val="out"/>
        <c:minorTickMark val="none"/>
        <c:tickLblPos val="nextTo"/>
        <c:txPr>
          <a:bodyPr/>
          <a:lstStyle/>
          <a:p>
            <a:pPr>
              <a:defRPr sz="700"/>
            </a:pPr>
            <a:endParaRPr lang="de-DE"/>
          </a:p>
        </c:txPr>
        <c:crossAx val="124587008"/>
        <c:crosses val="autoZero"/>
        <c:auto val="1"/>
        <c:lblAlgn val="ctr"/>
        <c:lblOffset val="100"/>
        <c:tickLblSkip val="3"/>
        <c:tickMarkSkip val="3"/>
        <c:noMultiLvlLbl val="0"/>
      </c:catAx>
      <c:valAx>
        <c:axId val="124587008"/>
        <c:scaling>
          <c:orientation val="minMax"/>
        </c:scaling>
        <c:delete val="0"/>
        <c:axPos val="l"/>
        <c:majorGridlines/>
        <c:title>
          <c:tx>
            <c:rich>
              <a:bodyPr rot="-5400000" vert="horz"/>
              <a:lstStyle/>
              <a:p>
                <a:pPr>
                  <a:defRPr/>
                </a:pPr>
                <a:r>
                  <a:rPr lang="en-US"/>
                  <a:t>Futteraufnahme, TM</a:t>
                </a:r>
              </a:p>
            </c:rich>
          </c:tx>
          <c:overlay val="0"/>
        </c:title>
        <c:numFmt formatCode="0\ &quot;kg&quot;" sourceLinked="0"/>
        <c:majorTickMark val="out"/>
        <c:minorTickMark val="none"/>
        <c:tickLblPos val="nextTo"/>
        <c:crossAx val="124585088"/>
        <c:crosses val="autoZero"/>
        <c:crossBetween val="midCat"/>
      </c:valAx>
    </c:plotArea>
    <c:plotVisOnly val="1"/>
    <c:dispBlanksAs val="gap"/>
    <c:showDLblsOverMax val="0"/>
  </c:chart>
  <c:txPr>
    <a:bodyPr/>
    <a:lstStyle/>
    <a:p>
      <a:pPr>
        <a:defRPr sz="900"/>
      </a:pPr>
      <a:endParaRPr lang="de-DE"/>
    </a:p>
  </c:txPr>
  <c:printSettings>
    <c:headerFooter/>
    <c:pageMargins b="0.78740157499999996" l="0.7" r="0.7" t="0.78740157499999996"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10"/>
          <c:order val="0"/>
          <c:tx>
            <c:strRef>
              <c:f>'Ration Aufzucht-Mast'!$AS$73</c:f>
              <c:strCache>
                <c:ptCount val="1"/>
                <c:pt idx="0">
                  <c:v>Mittelwert P</c:v>
                </c:pt>
              </c:strCache>
            </c:strRef>
          </c:tx>
          <c:spPr>
            <a:ln w="28575">
              <a:noFill/>
            </a:ln>
          </c:spPr>
          <c:trendline>
            <c:trendlineType val="linear"/>
            <c:dispRSqr val="1"/>
            <c:dispEq val="1"/>
            <c:trendlineLbl>
              <c:layout>
                <c:manualLayout>
                  <c:x val="0.33524063415287547"/>
                  <c:y val="0.55461346140543322"/>
                </c:manualLayout>
              </c:layout>
              <c:numFmt formatCode="General" sourceLinked="0"/>
              <c:txPr>
                <a:bodyPr/>
                <a:lstStyle/>
                <a:p>
                  <a:pPr>
                    <a:defRPr sz="1400"/>
                  </a:pPr>
                  <a:endParaRPr lang="de-DE"/>
                </a:p>
              </c:txPr>
            </c:trendlineLbl>
          </c:trendline>
          <c:xVal>
            <c:numRef>
              <c:f>'Ration Aufzucht-Mast'!$AT$62:$AY$62</c:f>
            </c:numRef>
          </c:xVal>
          <c:yVal>
            <c:numRef>
              <c:f>'Ration Aufzucht-Mast'!$AT$73:$AY$73</c:f>
            </c:numRef>
          </c:yVal>
          <c:smooth val="0"/>
          <c:extLst>
            <c:ext xmlns:c16="http://schemas.microsoft.com/office/drawing/2014/chart" uri="{C3380CC4-5D6E-409C-BE32-E72D297353CC}">
              <c16:uniqueId val="{00000000-9D2D-44D8-9D54-60B949B5C41C}"/>
            </c:ext>
          </c:extLst>
        </c:ser>
        <c:dLbls>
          <c:showLegendKey val="0"/>
          <c:showVal val="0"/>
          <c:showCatName val="0"/>
          <c:showSerName val="0"/>
          <c:showPercent val="0"/>
          <c:showBubbleSize val="0"/>
        </c:dLbls>
        <c:axId val="130257664"/>
        <c:axId val="130259200"/>
      </c:scatterChart>
      <c:valAx>
        <c:axId val="130257664"/>
        <c:scaling>
          <c:orientation val="minMax"/>
        </c:scaling>
        <c:delete val="0"/>
        <c:axPos val="b"/>
        <c:numFmt formatCode="General" sourceLinked="1"/>
        <c:majorTickMark val="out"/>
        <c:minorTickMark val="none"/>
        <c:tickLblPos val="nextTo"/>
        <c:crossAx val="130259200"/>
        <c:crosses val="autoZero"/>
        <c:crossBetween val="midCat"/>
      </c:valAx>
      <c:valAx>
        <c:axId val="130259200"/>
        <c:scaling>
          <c:orientation val="minMax"/>
        </c:scaling>
        <c:delete val="0"/>
        <c:axPos val="l"/>
        <c:majorGridlines/>
        <c:numFmt formatCode="General" sourceLinked="1"/>
        <c:majorTickMark val="out"/>
        <c:minorTickMark val="none"/>
        <c:tickLblPos val="nextTo"/>
        <c:crossAx val="130257664"/>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10"/>
          <c:order val="0"/>
          <c:tx>
            <c:strRef>
              <c:f>'Ration Aufzucht-Mast'!$AS$87</c:f>
              <c:strCache>
                <c:ptCount val="1"/>
                <c:pt idx="0">
                  <c:v>Mittelwert Mg</c:v>
                </c:pt>
              </c:strCache>
            </c:strRef>
          </c:tx>
          <c:spPr>
            <a:ln w="28575">
              <a:noFill/>
            </a:ln>
          </c:spPr>
          <c:trendline>
            <c:trendlineType val="linear"/>
            <c:dispRSqr val="1"/>
            <c:dispEq val="1"/>
            <c:trendlineLbl>
              <c:layout>
                <c:manualLayout>
                  <c:x val="0.33524063415287547"/>
                  <c:y val="0.55461346140543322"/>
                </c:manualLayout>
              </c:layout>
              <c:numFmt formatCode="General" sourceLinked="0"/>
              <c:txPr>
                <a:bodyPr/>
                <a:lstStyle/>
                <a:p>
                  <a:pPr>
                    <a:defRPr sz="1400"/>
                  </a:pPr>
                  <a:endParaRPr lang="de-DE"/>
                </a:p>
              </c:txPr>
            </c:trendlineLbl>
          </c:trendline>
          <c:xVal>
            <c:numRef>
              <c:f>'Ration Aufzucht-Mast'!$AT$76:$AY$76</c:f>
            </c:numRef>
          </c:xVal>
          <c:yVal>
            <c:numRef>
              <c:f>'Ration Aufzucht-Mast'!$AT$87:$AY$87</c:f>
            </c:numRef>
          </c:yVal>
          <c:smooth val="0"/>
          <c:extLst>
            <c:ext xmlns:c16="http://schemas.microsoft.com/office/drawing/2014/chart" uri="{C3380CC4-5D6E-409C-BE32-E72D297353CC}">
              <c16:uniqueId val="{00000000-2B34-4E93-887B-785CDE2B4577}"/>
            </c:ext>
          </c:extLst>
        </c:ser>
        <c:dLbls>
          <c:showLegendKey val="0"/>
          <c:showVal val="0"/>
          <c:showCatName val="0"/>
          <c:showSerName val="0"/>
          <c:showPercent val="0"/>
          <c:showBubbleSize val="0"/>
        </c:dLbls>
        <c:axId val="130284928"/>
        <c:axId val="130286720"/>
      </c:scatterChart>
      <c:valAx>
        <c:axId val="130284928"/>
        <c:scaling>
          <c:orientation val="minMax"/>
        </c:scaling>
        <c:delete val="0"/>
        <c:axPos val="b"/>
        <c:numFmt formatCode="General" sourceLinked="1"/>
        <c:majorTickMark val="out"/>
        <c:minorTickMark val="none"/>
        <c:tickLblPos val="nextTo"/>
        <c:crossAx val="130286720"/>
        <c:crosses val="autoZero"/>
        <c:crossBetween val="midCat"/>
      </c:valAx>
      <c:valAx>
        <c:axId val="130286720"/>
        <c:scaling>
          <c:orientation val="minMax"/>
        </c:scaling>
        <c:delete val="0"/>
        <c:axPos val="l"/>
        <c:majorGridlines/>
        <c:numFmt formatCode="General" sourceLinked="1"/>
        <c:majorTickMark val="out"/>
        <c:minorTickMark val="none"/>
        <c:tickLblPos val="nextTo"/>
        <c:crossAx val="130284928"/>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10"/>
          <c:order val="0"/>
          <c:tx>
            <c:strRef>
              <c:f>'Ration Aufzucht-Mast'!$AS$100</c:f>
              <c:strCache>
                <c:ptCount val="1"/>
                <c:pt idx="0">
                  <c:v>Mittelwert Na</c:v>
                </c:pt>
              </c:strCache>
            </c:strRef>
          </c:tx>
          <c:spPr>
            <a:ln w="28575">
              <a:noFill/>
            </a:ln>
          </c:spPr>
          <c:trendline>
            <c:trendlineType val="linear"/>
            <c:dispRSqr val="1"/>
            <c:dispEq val="1"/>
            <c:trendlineLbl>
              <c:layout>
                <c:manualLayout>
                  <c:x val="0.33524063415287547"/>
                  <c:y val="0.55461346140543322"/>
                </c:manualLayout>
              </c:layout>
              <c:numFmt formatCode="General" sourceLinked="0"/>
              <c:txPr>
                <a:bodyPr/>
                <a:lstStyle/>
                <a:p>
                  <a:pPr>
                    <a:defRPr sz="1400"/>
                  </a:pPr>
                  <a:endParaRPr lang="de-DE"/>
                </a:p>
              </c:txPr>
            </c:trendlineLbl>
          </c:trendline>
          <c:xVal>
            <c:numRef>
              <c:f>'Ration Aufzucht-Mast'!$AT$89:$AY$89</c:f>
            </c:numRef>
          </c:xVal>
          <c:yVal>
            <c:numRef>
              <c:f>'Ration Aufzucht-Mast'!$AT$100:$AY$100</c:f>
            </c:numRef>
          </c:yVal>
          <c:smooth val="0"/>
          <c:extLst>
            <c:ext xmlns:c16="http://schemas.microsoft.com/office/drawing/2014/chart" uri="{C3380CC4-5D6E-409C-BE32-E72D297353CC}">
              <c16:uniqueId val="{00000000-146F-4D27-9DCD-C7C3F1A36231}"/>
            </c:ext>
          </c:extLst>
        </c:ser>
        <c:dLbls>
          <c:showLegendKey val="0"/>
          <c:showVal val="0"/>
          <c:showCatName val="0"/>
          <c:showSerName val="0"/>
          <c:showPercent val="0"/>
          <c:showBubbleSize val="0"/>
        </c:dLbls>
        <c:axId val="130320256"/>
        <c:axId val="130321792"/>
      </c:scatterChart>
      <c:valAx>
        <c:axId val="130320256"/>
        <c:scaling>
          <c:orientation val="minMax"/>
        </c:scaling>
        <c:delete val="0"/>
        <c:axPos val="b"/>
        <c:numFmt formatCode="General" sourceLinked="1"/>
        <c:majorTickMark val="out"/>
        <c:minorTickMark val="none"/>
        <c:tickLblPos val="nextTo"/>
        <c:crossAx val="130321792"/>
        <c:crosses val="autoZero"/>
        <c:crossBetween val="midCat"/>
      </c:valAx>
      <c:valAx>
        <c:axId val="130321792"/>
        <c:scaling>
          <c:orientation val="minMax"/>
        </c:scaling>
        <c:delete val="0"/>
        <c:axPos val="l"/>
        <c:majorGridlines/>
        <c:numFmt formatCode="General" sourceLinked="1"/>
        <c:majorTickMark val="out"/>
        <c:minorTickMark val="none"/>
        <c:tickLblPos val="nextTo"/>
        <c:crossAx val="130320256"/>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2"/>
          <c:order val="1"/>
          <c:tx>
            <c:strRef>
              <c:f>'Zuteilung-Milchleistungsfutter'!$F$20</c:f>
              <c:strCache>
                <c:ptCount val="1"/>
                <c:pt idx="0">
                  <c:v>TM-Aufnahme</c:v>
                </c:pt>
              </c:strCache>
            </c:strRef>
          </c:tx>
          <c:spPr>
            <a:solidFill>
              <a:srgbClr val="FFFF00"/>
            </a:solidFill>
            <a:ln w="28575">
              <a:noFill/>
            </a:ln>
          </c:spPr>
          <c:cat>
            <c:numRef>
              <c:f>'Zuteilung-Milchleistungsfutter'!$A$21:$A$49</c:f>
              <c:numCache>
                <c:formatCode>0\ "kg"</c:formatCode>
                <c:ptCount val="2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numCache>
            </c:numRef>
          </c:cat>
          <c:val>
            <c:numRef>
              <c:f>'Zuteilung-Milchleistungsfutter'!$F$21:$F$49</c:f>
              <c:numCache>
                <c:formatCode>0.0\ "kg"</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60DC-43B2-9A4E-56A4823BB39F}"/>
            </c:ext>
          </c:extLst>
        </c:ser>
        <c:ser>
          <c:idx val="0"/>
          <c:order val="0"/>
          <c:tx>
            <c:strRef>
              <c:f>'Zuteilung-Milchleistungsfutter'!$AF$20</c:f>
              <c:strCache>
                <c:ptCount val="1"/>
                <c:pt idx="0">
                  <c:v>KF-Aufwand</c:v>
                </c:pt>
              </c:strCache>
            </c:strRef>
          </c:tx>
          <c:spPr>
            <a:solidFill>
              <a:srgbClr val="FFFF00"/>
            </a:solidFill>
            <a:ln w="28575">
              <a:noFill/>
            </a:ln>
          </c:spPr>
          <c:cat>
            <c:numRef>
              <c:f>'Zuteilung-Milchleistungsfutter'!$A$21:$A$49</c:f>
              <c:numCache>
                <c:formatCode>0\ "kg"</c:formatCode>
                <c:ptCount val="2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numCache>
            </c:numRef>
          </c:cat>
          <c:val>
            <c:numRef>
              <c:f>'Zuteilung-Milchleistungsfutter'!$AF$21:$AF$49</c:f>
              <c:numCache>
                <c:formatCode>0\ "g/kg ECM"</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1-60DC-43B2-9A4E-56A4823BB39F}"/>
            </c:ext>
          </c:extLst>
        </c:ser>
        <c:dLbls>
          <c:showLegendKey val="0"/>
          <c:showVal val="0"/>
          <c:showCatName val="0"/>
          <c:showSerName val="0"/>
          <c:showPercent val="0"/>
          <c:showBubbleSize val="0"/>
        </c:dLbls>
        <c:axId val="124637952"/>
        <c:axId val="124639872"/>
      </c:areaChart>
      <c:catAx>
        <c:axId val="124637952"/>
        <c:scaling>
          <c:orientation val="minMax"/>
        </c:scaling>
        <c:delete val="0"/>
        <c:axPos val="b"/>
        <c:title>
          <c:tx>
            <c:rich>
              <a:bodyPr/>
              <a:lstStyle/>
              <a:p>
                <a:pPr>
                  <a:defRPr sz="900"/>
                </a:pPr>
                <a:r>
                  <a:rPr lang="en-US" sz="900"/>
                  <a:t>Milchleistung</a:t>
                </a:r>
              </a:p>
            </c:rich>
          </c:tx>
          <c:overlay val="0"/>
        </c:title>
        <c:numFmt formatCode="0\ &quot;kg&quot;" sourceLinked="1"/>
        <c:majorTickMark val="out"/>
        <c:minorTickMark val="none"/>
        <c:tickLblPos val="nextTo"/>
        <c:txPr>
          <a:bodyPr/>
          <a:lstStyle/>
          <a:p>
            <a:pPr>
              <a:defRPr sz="700"/>
            </a:pPr>
            <a:endParaRPr lang="de-DE"/>
          </a:p>
        </c:txPr>
        <c:crossAx val="124639872"/>
        <c:crosses val="autoZero"/>
        <c:auto val="1"/>
        <c:lblAlgn val="ctr"/>
        <c:lblOffset val="100"/>
        <c:tickLblSkip val="3"/>
        <c:tickMarkSkip val="3"/>
        <c:noMultiLvlLbl val="0"/>
      </c:catAx>
      <c:valAx>
        <c:axId val="124639872"/>
        <c:scaling>
          <c:orientation val="minMax"/>
        </c:scaling>
        <c:delete val="0"/>
        <c:axPos val="l"/>
        <c:majorGridlines/>
        <c:title>
          <c:tx>
            <c:rich>
              <a:bodyPr rot="-5400000" vert="horz"/>
              <a:lstStyle/>
              <a:p>
                <a:pPr>
                  <a:defRPr sz="900"/>
                </a:pPr>
                <a:r>
                  <a:rPr lang="en-US" sz="900"/>
                  <a:t>Konzentratfutteraufwand</a:t>
                </a:r>
              </a:p>
            </c:rich>
          </c:tx>
          <c:layout>
            <c:manualLayout>
              <c:xMode val="edge"/>
              <c:yMode val="edge"/>
              <c:x val="1.4077879373197466E-2"/>
              <c:y val="7.3344902962383307E-3"/>
            </c:manualLayout>
          </c:layout>
          <c:overlay val="0"/>
        </c:title>
        <c:numFmt formatCode="0\ &quot;g/kg ECM&quot;" sourceLinked="0"/>
        <c:majorTickMark val="out"/>
        <c:minorTickMark val="none"/>
        <c:tickLblPos val="nextTo"/>
        <c:crossAx val="124637952"/>
        <c:crosses val="autoZero"/>
        <c:crossBetween val="midCat"/>
      </c:valAx>
    </c:plotArea>
    <c:plotVisOnly val="1"/>
    <c:dispBlanksAs val="gap"/>
    <c:showDLblsOverMax val="0"/>
  </c:chart>
  <c:txPr>
    <a:bodyPr/>
    <a:lstStyle/>
    <a:p>
      <a:pPr>
        <a:defRPr sz="800"/>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5"/>
          <c:order val="0"/>
          <c:tx>
            <c:strRef>
              <c:f>'Ration Aufzucht-Mast'!$AZ$7</c:f>
              <c:strCache>
                <c:ptCount val="1"/>
                <c:pt idx="0">
                  <c:v>1600</c:v>
                </c:pt>
              </c:strCache>
            </c:strRef>
          </c:tx>
          <c:spPr>
            <a:ln w="28575">
              <a:noFill/>
            </a:ln>
          </c:spPr>
          <c:xVal>
            <c:numRef>
              <c:f>'Ration Aufzucht-Mast'!$AK$8:$AK$17</c:f>
            </c:numRef>
          </c:xVal>
          <c:yVal>
            <c:numRef>
              <c:f>'Ration Aufzucht-Mast'!$AZ$8:$AZ$17</c:f>
            </c:numRef>
          </c:yVal>
          <c:smooth val="0"/>
          <c:extLst>
            <c:ext xmlns:c16="http://schemas.microsoft.com/office/drawing/2014/chart" uri="{C3380CC4-5D6E-409C-BE32-E72D297353CC}">
              <c16:uniqueId val="{00000000-A0F1-4897-B461-562239A9373A}"/>
            </c:ext>
          </c:extLst>
        </c:ser>
        <c:ser>
          <c:idx val="6"/>
          <c:order val="1"/>
          <c:tx>
            <c:strRef>
              <c:f>'Ration Aufzucht-Mast'!$BA$7</c:f>
              <c:strCache>
                <c:ptCount val="1"/>
                <c:pt idx="0">
                  <c:v>Mittelwert</c:v>
                </c:pt>
              </c:strCache>
            </c:strRef>
          </c:tx>
          <c:spPr>
            <a:ln w="28575">
              <a:noFill/>
            </a:ln>
          </c:spPr>
          <c:trendline>
            <c:trendlineType val="exp"/>
            <c:dispRSqr val="1"/>
            <c:dispEq val="1"/>
            <c:trendlineLbl>
              <c:layout>
                <c:manualLayout>
                  <c:x val="-0.25082082519879667"/>
                  <c:y val="0.6346954872874998"/>
                </c:manualLayout>
              </c:layout>
              <c:numFmt formatCode="#,##0.000000" sourceLinked="0"/>
              <c:txPr>
                <a:bodyPr/>
                <a:lstStyle/>
                <a:p>
                  <a:pPr>
                    <a:defRPr sz="1400"/>
                  </a:pPr>
                  <a:endParaRPr lang="de-DE"/>
                </a:p>
              </c:txPr>
            </c:trendlineLbl>
          </c:trendline>
          <c:xVal>
            <c:numRef>
              <c:f>'Ration Aufzucht-Mast'!$AK$8:$AK$17</c:f>
            </c:numRef>
          </c:xVal>
          <c:yVal>
            <c:numRef>
              <c:f>'Ration Aufzucht-Mast'!$BA$8:$BA$17</c:f>
            </c:numRef>
          </c:yVal>
          <c:smooth val="0"/>
          <c:extLst>
            <c:ext xmlns:c16="http://schemas.microsoft.com/office/drawing/2014/chart" uri="{C3380CC4-5D6E-409C-BE32-E72D297353CC}">
              <c16:uniqueId val="{00000001-A0F1-4897-B461-562239A9373A}"/>
            </c:ext>
          </c:extLst>
        </c:ser>
        <c:dLbls>
          <c:showLegendKey val="0"/>
          <c:showVal val="0"/>
          <c:showCatName val="0"/>
          <c:showSerName val="0"/>
          <c:showPercent val="0"/>
          <c:showBubbleSize val="0"/>
        </c:dLbls>
        <c:axId val="127695872"/>
        <c:axId val="127701760"/>
      </c:scatterChart>
      <c:valAx>
        <c:axId val="127695872"/>
        <c:scaling>
          <c:orientation val="minMax"/>
        </c:scaling>
        <c:delete val="0"/>
        <c:axPos val="b"/>
        <c:numFmt formatCode="0.0" sourceLinked="1"/>
        <c:majorTickMark val="out"/>
        <c:minorTickMark val="none"/>
        <c:tickLblPos val="nextTo"/>
        <c:crossAx val="127701760"/>
        <c:crosses val="autoZero"/>
        <c:crossBetween val="midCat"/>
      </c:valAx>
      <c:valAx>
        <c:axId val="127701760"/>
        <c:scaling>
          <c:orientation val="minMax"/>
        </c:scaling>
        <c:delete val="0"/>
        <c:axPos val="l"/>
        <c:majorGridlines/>
        <c:numFmt formatCode="0.0" sourceLinked="1"/>
        <c:majorTickMark val="out"/>
        <c:minorTickMark val="none"/>
        <c:tickLblPos val="nextTo"/>
        <c:crossAx val="127695872"/>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'Ration Aufzucht-Mast'!$AU$24</c:f>
              <c:strCache>
                <c:ptCount val="1"/>
                <c:pt idx="0">
                  <c:v>800</c:v>
                </c:pt>
              </c:strCache>
            </c:strRef>
          </c:tx>
          <c:spPr>
            <a:ln w="28575">
              <a:noFill/>
            </a:ln>
          </c:spPr>
          <c:xVal>
            <c:numRef>
              <c:f>'Ration Aufzucht-Mast'!#REF!</c:f>
            </c:numRef>
          </c:xVal>
          <c:yVal>
            <c:numRef>
              <c:f>'Ration Aufzucht-Mast'!#REF!</c:f>
              <c:numCache>
                <c:formatCode>General</c:formatCode>
                <c:ptCount val="1"/>
                <c:pt idx="0">
                  <c:v>1</c:v>
                </c:pt>
              </c:numCache>
            </c:numRef>
          </c:yVal>
          <c:smooth val="0"/>
          <c:extLst>
            <c:ext xmlns:c16="http://schemas.microsoft.com/office/drawing/2014/chart" uri="{C3380CC4-5D6E-409C-BE32-E72D297353CC}">
              <c16:uniqueId val="{00000000-7D54-4C02-9F51-D0A8922148CA}"/>
            </c:ext>
          </c:extLst>
        </c:ser>
        <c:ser>
          <c:idx val="1"/>
          <c:order val="1"/>
          <c:tx>
            <c:strRef>
              <c:f>'Ration Aufzucht-Mast'!$AV$24</c:f>
              <c:strCache>
                <c:ptCount val="1"/>
                <c:pt idx="0">
                  <c:v>1000</c:v>
                </c:pt>
              </c:strCache>
            </c:strRef>
          </c:tx>
          <c:spPr>
            <a:ln w="28575">
              <a:noFill/>
            </a:ln>
          </c:spPr>
          <c:xVal>
            <c:numRef>
              <c:f>'Ration Aufzucht-Mast'!#REF!</c:f>
            </c:numRef>
          </c:xVal>
          <c:yVal>
            <c:numRef>
              <c:f>'Ration Aufzucht-Mast'!#REF!</c:f>
              <c:numCache>
                <c:formatCode>General</c:formatCode>
                <c:ptCount val="1"/>
                <c:pt idx="0">
                  <c:v>1</c:v>
                </c:pt>
              </c:numCache>
            </c:numRef>
          </c:yVal>
          <c:smooth val="0"/>
          <c:extLst>
            <c:ext xmlns:c16="http://schemas.microsoft.com/office/drawing/2014/chart" uri="{C3380CC4-5D6E-409C-BE32-E72D297353CC}">
              <c16:uniqueId val="{00000001-7D54-4C02-9F51-D0A8922148CA}"/>
            </c:ext>
          </c:extLst>
        </c:ser>
        <c:ser>
          <c:idx val="2"/>
          <c:order val="2"/>
          <c:tx>
            <c:strRef>
              <c:f>'Ration Aufzucht-Mast'!$AW$24</c:f>
              <c:strCache>
                <c:ptCount val="1"/>
                <c:pt idx="0">
                  <c:v>1200</c:v>
                </c:pt>
              </c:strCache>
            </c:strRef>
          </c:tx>
          <c:spPr>
            <a:ln w="28575">
              <a:noFill/>
            </a:ln>
          </c:spPr>
          <c:xVal>
            <c:numRef>
              <c:f>'Ration Aufzucht-Mast'!#REF!</c:f>
            </c:numRef>
          </c:xVal>
          <c:yVal>
            <c:numRef>
              <c:f>'Ration Aufzucht-Mast'!#REF!</c:f>
              <c:numCache>
                <c:formatCode>General</c:formatCode>
                <c:ptCount val="1"/>
                <c:pt idx="0">
                  <c:v>1</c:v>
                </c:pt>
              </c:numCache>
            </c:numRef>
          </c:yVal>
          <c:smooth val="0"/>
          <c:extLst>
            <c:ext xmlns:c16="http://schemas.microsoft.com/office/drawing/2014/chart" uri="{C3380CC4-5D6E-409C-BE32-E72D297353CC}">
              <c16:uniqueId val="{00000002-7D54-4C02-9F51-D0A8922148CA}"/>
            </c:ext>
          </c:extLst>
        </c:ser>
        <c:ser>
          <c:idx val="4"/>
          <c:order val="3"/>
          <c:tx>
            <c:strRef>
              <c:f>'Ration Aufzucht-Mast'!$AY$24</c:f>
              <c:strCache>
                <c:ptCount val="1"/>
                <c:pt idx="0">
                  <c:v>1600</c:v>
                </c:pt>
              </c:strCache>
            </c:strRef>
          </c:tx>
          <c:spPr>
            <a:ln w="28575">
              <a:noFill/>
            </a:ln>
          </c:spPr>
          <c:xVal>
            <c:numRef>
              <c:f>'Ration Aufzucht-Mast'!#REF!</c:f>
            </c:numRef>
          </c:xVal>
          <c:yVal>
            <c:numRef>
              <c:f>'Ration Aufzucht-Mast'!#REF!</c:f>
              <c:numCache>
                <c:formatCode>General</c:formatCode>
                <c:ptCount val="1"/>
                <c:pt idx="0">
                  <c:v>1</c:v>
                </c:pt>
              </c:numCache>
            </c:numRef>
          </c:yVal>
          <c:smooth val="0"/>
          <c:extLst>
            <c:ext xmlns:c16="http://schemas.microsoft.com/office/drawing/2014/chart" uri="{C3380CC4-5D6E-409C-BE32-E72D297353CC}">
              <c16:uniqueId val="{00000003-7D54-4C02-9F51-D0A8922148CA}"/>
            </c:ext>
          </c:extLst>
        </c:ser>
        <c:ser>
          <c:idx val="5"/>
          <c:order val="4"/>
          <c:tx>
            <c:strRef>
              <c:f>'Ration Aufzucht-Mast'!$AZ$24</c:f>
              <c:strCache>
                <c:ptCount val="1"/>
                <c:pt idx="0">
                  <c:v>Mittelwert</c:v>
                </c:pt>
              </c:strCache>
            </c:strRef>
          </c:tx>
          <c:spPr>
            <a:ln w="28575">
              <a:noFill/>
            </a:ln>
          </c:spPr>
          <c:trendline>
            <c:trendlineType val="exp"/>
            <c:dispRSqr val="1"/>
            <c:dispEq val="1"/>
            <c:trendlineLbl>
              <c:layout>
                <c:manualLayout>
                  <c:x val="-0.29780810809105196"/>
                  <c:y val="0.52973096726898328"/>
                </c:manualLayout>
              </c:layout>
              <c:numFmt formatCode="#,##0.000000" sourceLinked="0"/>
              <c:txPr>
                <a:bodyPr/>
                <a:lstStyle/>
                <a:p>
                  <a:pPr>
                    <a:defRPr sz="1400"/>
                  </a:pPr>
                  <a:endParaRPr lang="de-DE"/>
                </a:p>
              </c:txPr>
            </c:trendlineLbl>
          </c:trendline>
          <c:xVal>
            <c:numRef>
              <c:f>'Ration Aufzucht-Mast'!#REF!</c:f>
            </c:numRef>
          </c:xVal>
          <c:yVal>
            <c:numRef>
              <c:f>'Ration Aufzucht-Mast'!#REF!</c:f>
              <c:numCache>
                <c:formatCode>General</c:formatCode>
                <c:ptCount val="1"/>
                <c:pt idx="0">
                  <c:v>1</c:v>
                </c:pt>
              </c:numCache>
            </c:numRef>
          </c:yVal>
          <c:smooth val="0"/>
          <c:extLst>
            <c:ext xmlns:c16="http://schemas.microsoft.com/office/drawing/2014/chart" uri="{C3380CC4-5D6E-409C-BE32-E72D297353CC}">
              <c16:uniqueId val="{00000004-7D54-4C02-9F51-D0A8922148CA}"/>
            </c:ext>
          </c:extLst>
        </c:ser>
        <c:dLbls>
          <c:showLegendKey val="0"/>
          <c:showVal val="0"/>
          <c:showCatName val="0"/>
          <c:showSerName val="0"/>
          <c:showPercent val="0"/>
          <c:showBubbleSize val="0"/>
        </c:dLbls>
        <c:axId val="127731200"/>
        <c:axId val="127732736"/>
      </c:scatterChart>
      <c:valAx>
        <c:axId val="127731200"/>
        <c:scaling>
          <c:orientation val="minMax"/>
        </c:scaling>
        <c:delete val="0"/>
        <c:axPos val="b"/>
        <c:numFmt formatCode="0.0" sourceLinked="1"/>
        <c:majorTickMark val="out"/>
        <c:minorTickMark val="none"/>
        <c:tickLblPos val="nextTo"/>
        <c:crossAx val="127732736"/>
        <c:crosses val="autoZero"/>
        <c:crossBetween val="midCat"/>
      </c:valAx>
      <c:valAx>
        <c:axId val="127732736"/>
        <c:scaling>
          <c:orientation val="minMax"/>
        </c:scaling>
        <c:delete val="0"/>
        <c:axPos val="l"/>
        <c:majorGridlines/>
        <c:numFmt formatCode="General" sourceLinked="1"/>
        <c:majorTickMark val="out"/>
        <c:minorTickMark val="none"/>
        <c:tickLblPos val="nextTo"/>
        <c:crossAx val="127731200"/>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6"/>
          <c:order val="0"/>
          <c:spPr>
            <a:ln w="28575">
              <a:noFill/>
            </a:ln>
          </c:spPr>
          <c:trendline>
            <c:trendlineType val="exp"/>
            <c:dispRSqr val="1"/>
            <c:dispEq val="1"/>
            <c:trendlineLbl>
              <c:layout>
                <c:manualLayout>
                  <c:x val="-0.36171190617455551"/>
                  <c:y val="-2.712230971128609E-2"/>
                </c:manualLayout>
              </c:layout>
              <c:numFmt formatCode="#,##0.000000" sourceLinked="0"/>
            </c:trendlineLbl>
          </c:trendline>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0-D34C-4EAD-B66D-B35824849C28}"/>
            </c:ext>
          </c:extLst>
        </c:ser>
        <c:ser>
          <c:idx val="7"/>
          <c:order val="1"/>
          <c:spPr>
            <a:ln w="28575">
              <a:noFill/>
            </a:ln>
          </c:spPr>
          <c:trendline>
            <c:trendlineType val="exp"/>
            <c:dispRSqr val="1"/>
            <c:dispEq val="1"/>
            <c:trendlineLbl>
              <c:layout>
                <c:manualLayout>
                  <c:x val="-0.33557717987305952"/>
                  <c:y val="0.66544724944489531"/>
                </c:manualLayout>
              </c:layout>
              <c:numFmt formatCode="#,##0.000000" sourceLinked="0"/>
              <c:txPr>
                <a:bodyPr/>
                <a:lstStyle/>
                <a:p>
                  <a:pPr>
                    <a:defRPr sz="1400"/>
                  </a:pPr>
                  <a:endParaRPr lang="de-DE"/>
                </a:p>
              </c:txPr>
            </c:trendlineLbl>
          </c:trendline>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1-D34C-4EAD-B66D-B35824849C28}"/>
            </c:ext>
          </c:extLst>
        </c:ser>
        <c:dLbls>
          <c:showLegendKey val="0"/>
          <c:showVal val="0"/>
          <c:showCatName val="0"/>
          <c:showSerName val="0"/>
          <c:showPercent val="0"/>
          <c:showBubbleSize val="0"/>
        </c:dLbls>
        <c:axId val="127775872"/>
        <c:axId val="127777408"/>
      </c:scatterChart>
      <c:valAx>
        <c:axId val="127775872"/>
        <c:scaling>
          <c:orientation val="minMax"/>
        </c:scaling>
        <c:delete val="0"/>
        <c:axPos val="b"/>
        <c:numFmt formatCode="0.0" sourceLinked="1"/>
        <c:majorTickMark val="out"/>
        <c:minorTickMark val="none"/>
        <c:tickLblPos val="nextTo"/>
        <c:crossAx val="127777408"/>
        <c:crosses val="autoZero"/>
        <c:crossBetween val="midCat"/>
      </c:valAx>
      <c:valAx>
        <c:axId val="127777408"/>
        <c:scaling>
          <c:orientation val="minMax"/>
        </c:scaling>
        <c:delete val="0"/>
        <c:axPos val="l"/>
        <c:majorGridlines/>
        <c:numFmt formatCode="General" sourceLinked="1"/>
        <c:majorTickMark val="out"/>
        <c:minorTickMark val="none"/>
        <c:tickLblPos val="nextTo"/>
        <c:crossAx val="127775872"/>
        <c:crosses val="autoZero"/>
        <c:crossBetween val="midCat"/>
      </c:valAx>
    </c:plotArea>
    <c:legend>
      <c:legendPos val="r"/>
      <c:legendEntry>
        <c:idx val="2"/>
        <c:delete val="1"/>
      </c:legendEntry>
      <c:overlay val="0"/>
    </c:legend>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xVal>
            <c:numRef>
              <c:f>'Ration Aufzucht-Mast'!$AL$30:$AL$30</c:f>
            </c:numRef>
          </c:xVal>
          <c:yVal>
            <c:numRef>
              <c:f>'Ration Aufzucht-Mast'!$AM$30:$AM$30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0-A3F9-4F7F-958F-117C11D8A014}"/>
            </c:ext>
          </c:extLst>
        </c:ser>
        <c:ser>
          <c:idx val="1"/>
          <c:order val="1"/>
          <c:spPr>
            <a:ln w="28575">
              <a:noFill/>
            </a:ln>
          </c:spPr>
          <c:xVal>
            <c:numRef>
              <c:f>'Ration Aufzucht-Mast'!$AL$30:$AL$30</c:f>
            </c:numRef>
          </c:xVal>
          <c:yVal>
            <c:numRef>
              <c:f>'Ration Aufzucht-Mast'!$AN$30:$AN$30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1-A3F9-4F7F-958F-117C11D8A014}"/>
            </c:ext>
          </c:extLst>
        </c:ser>
        <c:ser>
          <c:idx val="2"/>
          <c:order val="2"/>
          <c:spPr>
            <a:ln w="28575">
              <a:noFill/>
            </a:ln>
          </c:spPr>
          <c:xVal>
            <c:numRef>
              <c:f>'Ration Aufzucht-Mast'!$AL$30:$AL$30</c:f>
            </c:numRef>
          </c:xVal>
          <c:yVal>
            <c:numRef>
              <c:f>'Ration Aufzucht-Mast'!$AO$30:$AO$30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2-A3F9-4F7F-958F-117C11D8A014}"/>
            </c:ext>
          </c:extLst>
        </c:ser>
        <c:ser>
          <c:idx val="3"/>
          <c:order val="3"/>
          <c:spPr>
            <a:ln w="28575">
              <a:noFill/>
            </a:ln>
          </c:spPr>
          <c:xVal>
            <c:numRef>
              <c:f>'Ration Aufzucht-Mast'!$AL$30:$AL$30</c:f>
            </c:numRef>
          </c:xVal>
          <c:yVal>
            <c:numRef>
              <c:f>'Ration Aufzucht-Mast'!$AP$30:$AP$30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3-A3F9-4F7F-958F-117C11D8A014}"/>
            </c:ext>
          </c:extLst>
        </c:ser>
        <c:ser>
          <c:idx val="4"/>
          <c:order val="4"/>
          <c:spPr>
            <a:ln w="28575">
              <a:noFill/>
            </a:ln>
          </c:spPr>
          <c:xVal>
            <c:numRef>
              <c:f>'Ration Aufzucht-Mast'!$AL$30:$AL$30</c:f>
            </c:numRef>
          </c:xVal>
          <c:yVal>
            <c:numRef>
              <c:f>'Ration Aufzucht-Mast'!$AQ$30:$AQ$30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4-A3F9-4F7F-958F-117C11D8A014}"/>
            </c:ext>
          </c:extLst>
        </c:ser>
        <c:ser>
          <c:idx val="5"/>
          <c:order val="5"/>
          <c:spPr>
            <a:ln w="28575">
              <a:noFill/>
            </a:ln>
          </c:spPr>
          <c:trendline>
            <c:trendlineType val="exp"/>
            <c:dispRSqr val="1"/>
            <c:dispEq val="1"/>
            <c:trendlineLbl>
              <c:layout>
                <c:manualLayout>
                  <c:x val="-0.36893864442323421"/>
                  <c:y val="3.6633770778652666E-2"/>
                </c:manualLayout>
              </c:layout>
              <c:numFmt formatCode="#,##0.000000" sourceLinked="0"/>
              <c:txPr>
                <a:bodyPr/>
                <a:lstStyle/>
                <a:p>
                  <a:pPr algn="ctr" rtl="0">
                    <a:defRPr lang="en-US" sz="1000" b="0" i="0" u="none" strike="noStrike" kern="1200" baseline="0">
                      <a:solidFill>
                        <a:sysClr val="windowText" lastClr="000000"/>
                      </a:solidFill>
                      <a:latin typeface="+mn-lt"/>
                      <a:ea typeface="+mn-ea"/>
                      <a:cs typeface="+mn-cs"/>
                    </a:defRPr>
                  </a:pPr>
                  <a:endParaRPr lang="de-DE"/>
                </a:p>
              </c:txPr>
            </c:trendlineLbl>
          </c:trendline>
          <c:xVal>
            <c:numRef>
              <c:f>'Ration Aufzucht-Mast'!$AL$30:$AL$30</c:f>
            </c:numRef>
          </c:xVal>
          <c:yVal>
            <c:numRef>
              <c:f>'Ration Aufzucht-Mast'!$AR$30:$AR$30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5-A3F9-4F7F-958F-117C11D8A014}"/>
            </c:ext>
          </c:extLst>
        </c:ser>
        <c:ser>
          <c:idx val="6"/>
          <c:order val="6"/>
          <c:spPr>
            <a:ln w="28575">
              <a:noFill/>
            </a:ln>
          </c:spPr>
          <c:trendline>
            <c:trendlineType val="poly"/>
            <c:order val="2"/>
            <c:dispRSqr val="1"/>
            <c:dispEq val="1"/>
            <c:trendlineLbl>
              <c:layout>
                <c:manualLayout>
                  <c:x val="-0.42014283069841224"/>
                  <c:y val="0.19588681902567057"/>
                </c:manualLayout>
              </c:layout>
              <c:numFmt formatCode="General" sourceLinked="0"/>
            </c:trendlineLbl>
          </c:trendline>
          <c:xVal>
            <c:numRef>
              <c:f>'Ration Aufzucht-Mast'!$AL$30:$AL$30</c:f>
            </c:numRef>
          </c:xVal>
          <c:yVal>
            <c:numRef>
              <c:f>'Ration Aufzucht-Mast'!$AS$30:$AS$30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6-A3F9-4F7F-958F-117C11D8A014}"/>
            </c:ext>
          </c:extLst>
        </c:ser>
        <c:dLbls>
          <c:showLegendKey val="0"/>
          <c:showVal val="0"/>
          <c:showCatName val="0"/>
          <c:showSerName val="0"/>
          <c:showPercent val="0"/>
          <c:showBubbleSize val="0"/>
        </c:dLbls>
        <c:axId val="127829120"/>
        <c:axId val="127830656"/>
      </c:scatterChart>
      <c:valAx>
        <c:axId val="127829120"/>
        <c:scaling>
          <c:orientation val="minMax"/>
        </c:scaling>
        <c:delete val="0"/>
        <c:axPos val="b"/>
        <c:numFmt formatCode="General" sourceLinked="1"/>
        <c:majorTickMark val="out"/>
        <c:minorTickMark val="none"/>
        <c:tickLblPos val="nextTo"/>
        <c:crossAx val="127830656"/>
        <c:crosses val="autoZero"/>
        <c:crossBetween val="midCat"/>
      </c:valAx>
      <c:valAx>
        <c:axId val="127830656"/>
        <c:scaling>
          <c:orientation val="minMax"/>
          <c:min val="0"/>
        </c:scaling>
        <c:delete val="0"/>
        <c:axPos val="l"/>
        <c:majorGridlines/>
        <c:numFmt formatCode="0.0" sourceLinked="1"/>
        <c:majorTickMark val="out"/>
        <c:minorTickMark val="none"/>
        <c:tickLblPos val="nextTo"/>
        <c:crossAx val="127829120"/>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209845988251198E-2"/>
          <c:y val="3.8339339771154814E-2"/>
          <c:w val="0.81825019878723904"/>
          <c:h val="0.91391861903236205"/>
        </c:manualLayout>
      </c:layout>
      <c:scatterChart>
        <c:scatterStyle val="lineMarker"/>
        <c:varyColors val="0"/>
        <c:ser>
          <c:idx val="0"/>
          <c:order val="0"/>
          <c:spPr>
            <a:ln w="28575">
              <a:noFill/>
            </a:ln>
          </c:spPr>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0-3678-4290-B822-BE85E40F231D}"/>
            </c:ext>
          </c:extLst>
        </c:ser>
        <c:ser>
          <c:idx val="1"/>
          <c:order val="1"/>
          <c:spPr>
            <a:ln w="28575">
              <a:noFill/>
            </a:ln>
          </c:spPr>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1-3678-4290-B822-BE85E40F231D}"/>
            </c:ext>
          </c:extLst>
        </c:ser>
        <c:ser>
          <c:idx val="2"/>
          <c:order val="2"/>
          <c:spPr>
            <a:ln w="28575">
              <a:noFill/>
            </a:ln>
          </c:spPr>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2-3678-4290-B822-BE85E40F231D}"/>
            </c:ext>
          </c:extLst>
        </c:ser>
        <c:ser>
          <c:idx val="3"/>
          <c:order val="3"/>
          <c:spPr>
            <a:ln w="28575">
              <a:noFill/>
            </a:ln>
          </c:spPr>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3-3678-4290-B822-BE85E40F231D}"/>
            </c:ext>
          </c:extLst>
        </c:ser>
        <c:ser>
          <c:idx val="4"/>
          <c:order val="4"/>
          <c:spPr>
            <a:ln w="28575">
              <a:noFill/>
            </a:ln>
          </c:spPr>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4-3678-4290-B822-BE85E40F231D}"/>
            </c:ext>
          </c:extLst>
        </c:ser>
        <c:ser>
          <c:idx val="5"/>
          <c:order val="5"/>
          <c:spPr>
            <a:ln w="28575">
              <a:noFill/>
            </a:ln>
          </c:spPr>
          <c:trendline>
            <c:trendlineType val="power"/>
            <c:dispRSqr val="1"/>
            <c:dispEq val="1"/>
            <c:trendlineLbl>
              <c:layout>
                <c:manualLayout>
                  <c:x val="-0.33417243055751428"/>
                  <c:y val="3.2903762734760887E-2"/>
                </c:manualLayout>
              </c:layout>
              <c:numFmt formatCode="#,##0.000000" sourceLinked="0"/>
              <c:txPr>
                <a:bodyPr/>
                <a:lstStyle/>
                <a:p>
                  <a:pPr algn="ctr" rtl="0">
                    <a:defRPr lang="en-US" sz="1400" b="0" i="0" u="none" strike="noStrike" kern="1200" baseline="0">
                      <a:solidFill>
                        <a:sysClr val="windowText" lastClr="000000"/>
                      </a:solidFill>
                      <a:latin typeface="+mn-lt"/>
                      <a:ea typeface="+mn-ea"/>
                      <a:cs typeface="+mn-cs"/>
                    </a:defRPr>
                  </a:pPr>
                  <a:endParaRPr lang="de-DE"/>
                </a:p>
              </c:txPr>
            </c:trendlineLbl>
          </c:trendline>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5-3678-4290-B822-BE85E40F231D}"/>
            </c:ext>
          </c:extLst>
        </c:ser>
        <c:dLbls>
          <c:showLegendKey val="0"/>
          <c:showVal val="0"/>
          <c:showCatName val="0"/>
          <c:showSerName val="0"/>
          <c:showPercent val="0"/>
          <c:showBubbleSize val="0"/>
        </c:dLbls>
        <c:axId val="129582976"/>
        <c:axId val="129584512"/>
      </c:scatterChart>
      <c:valAx>
        <c:axId val="129582976"/>
        <c:scaling>
          <c:orientation val="minMax"/>
        </c:scaling>
        <c:delete val="0"/>
        <c:axPos val="b"/>
        <c:numFmt formatCode="General" sourceLinked="1"/>
        <c:majorTickMark val="out"/>
        <c:minorTickMark val="none"/>
        <c:tickLblPos val="nextTo"/>
        <c:crossAx val="129584512"/>
        <c:crosses val="autoZero"/>
        <c:crossBetween val="midCat"/>
      </c:valAx>
      <c:valAx>
        <c:axId val="129584512"/>
        <c:scaling>
          <c:orientation val="minMax"/>
          <c:min val="0"/>
        </c:scaling>
        <c:delete val="0"/>
        <c:axPos val="l"/>
        <c:majorGridlines/>
        <c:numFmt formatCode="General" sourceLinked="1"/>
        <c:majorTickMark val="out"/>
        <c:minorTickMark val="none"/>
        <c:tickLblPos val="nextTo"/>
        <c:crossAx val="129582976"/>
        <c:crosses val="autoZero"/>
        <c:crossBetween val="midCat"/>
      </c:valAx>
    </c:plotArea>
    <c:legend>
      <c:legendPos val="r"/>
      <c:legendEntry>
        <c:idx val="6"/>
        <c:delete val="1"/>
      </c:legendEntry>
      <c:overlay val="0"/>
    </c:legend>
    <c:plotVisOnly val="1"/>
    <c:dispBlanksAs val="gap"/>
    <c:showDLblsOverMax val="0"/>
  </c:chart>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'Ration Aufzucht-Mast'!#REF!</c:f>
              <c:strCache>
                <c:ptCount val="1"/>
                <c:pt idx="0">
                  <c:v>#REF!</c:v>
                </c:pt>
              </c:strCache>
            </c:strRef>
          </c:tx>
          <c:spPr>
            <a:ln w="28575">
              <a:noFill/>
            </a:ln>
          </c:spPr>
          <c:trendline>
            <c:trendlineType val="exp"/>
            <c:dispRSqr val="1"/>
            <c:dispEq val="1"/>
            <c:trendlineLbl>
              <c:layout>
                <c:manualLayout>
                  <c:x val="-0.42994767917379223"/>
                  <c:y val="0.19531423155438904"/>
                </c:manualLayout>
              </c:layout>
              <c:numFmt formatCode="#,##0.000000" sourceLinked="0"/>
            </c:trendlineLbl>
          </c:trendline>
          <c:xVal>
            <c:numRef>
              <c:f>'Ration Aufzucht-Mast'!$AK$35:$AK$43</c:f>
            </c:numRef>
          </c:xVal>
          <c:yVal>
            <c:numRef>
              <c:f>'Ration Aufzucht-Mast'!$AL$35:$AL$43</c:f>
            </c:numRef>
          </c:yVal>
          <c:smooth val="0"/>
          <c:extLst>
            <c:ext xmlns:c16="http://schemas.microsoft.com/office/drawing/2014/chart" uri="{C3380CC4-5D6E-409C-BE32-E72D297353CC}">
              <c16:uniqueId val="{00000000-0F8C-4A60-B19F-BEB5113B4514}"/>
            </c:ext>
          </c:extLst>
        </c:ser>
        <c:ser>
          <c:idx val="1"/>
          <c:order val="1"/>
          <c:tx>
            <c:strRef>
              <c:f>'Ration Aufzucht-Mast'!$AM$34</c:f>
              <c:strCache>
                <c:ptCount val="1"/>
                <c:pt idx="0">
                  <c:v>500</c:v>
                </c:pt>
              </c:strCache>
            </c:strRef>
          </c:tx>
          <c:spPr>
            <a:ln w="28575">
              <a:noFill/>
            </a:ln>
          </c:spPr>
          <c:xVal>
            <c:numRef>
              <c:f>'Ration Aufzucht-Mast'!$AK$35:$AK$43</c:f>
            </c:numRef>
          </c:xVal>
          <c:yVal>
            <c:numRef>
              <c:f>'Ration Aufzucht-Mast'!$AM$35:$AM$43</c:f>
            </c:numRef>
          </c:yVal>
          <c:smooth val="0"/>
          <c:extLst>
            <c:ext xmlns:c16="http://schemas.microsoft.com/office/drawing/2014/chart" uri="{C3380CC4-5D6E-409C-BE32-E72D297353CC}">
              <c16:uniqueId val="{00000001-0F8C-4A60-B19F-BEB5113B4514}"/>
            </c:ext>
          </c:extLst>
        </c:ser>
        <c:ser>
          <c:idx val="2"/>
          <c:order val="2"/>
          <c:tx>
            <c:strRef>
              <c:f>'Ration Aufzucht-Mast'!#REF!</c:f>
              <c:strCache>
                <c:ptCount val="1"/>
                <c:pt idx="0">
                  <c:v>#REF!</c:v>
                </c:pt>
              </c:strCache>
            </c:strRef>
          </c:tx>
          <c:spPr>
            <a:ln w="28575">
              <a:noFill/>
            </a:ln>
          </c:spPr>
          <c:trendline>
            <c:trendlineType val="exp"/>
            <c:dispRSqr val="1"/>
            <c:dispEq val="1"/>
            <c:trendlineLbl>
              <c:layout>
                <c:manualLayout>
                  <c:x val="-0.4604308577550299"/>
                  <c:y val="0.11686439195100612"/>
                </c:manualLayout>
              </c:layout>
              <c:numFmt formatCode="#,##0.000000" sourceLinked="0"/>
            </c:trendlineLbl>
          </c:trendline>
          <c:xVal>
            <c:numRef>
              <c:f>'Ration Aufzucht-Mast'!$AK$35:$AK$43</c:f>
            </c:numRef>
          </c:xVal>
          <c:yVal>
            <c:numRef>
              <c:f>'Ration Aufzucht-Mast'!$AN$35:$AN$43</c:f>
            </c:numRef>
          </c:yVal>
          <c:smooth val="0"/>
          <c:extLst>
            <c:ext xmlns:c16="http://schemas.microsoft.com/office/drawing/2014/chart" uri="{C3380CC4-5D6E-409C-BE32-E72D297353CC}">
              <c16:uniqueId val="{00000002-0F8C-4A60-B19F-BEB5113B4514}"/>
            </c:ext>
          </c:extLst>
        </c:ser>
        <c:ser>
          <c:idx val="3"/>
          <c:order val="3"/>
          <c:tx>
            <c:strRef>
              <c:f>'Ration Aufzucht-Mast'!#REF!</c:f>
              <c:strCache>
                <c:ptCount val="1"/>
                <c:pt idx="0">
                  <c:v>#REF!</c:v>
                </c:pt>
              </c:strCache>
            </c:strRef>
          </c:tx>
          <c:spPr>
            <a:ln w="28575">
              <a:noFill/>
            </a:ln>
          </c:spPr>
          <c:trendline>
            <c:trendlineType val="exp"/>
            <c:dispRSqr val="1"/>
            <c:dispEq val="1"/>
            <c:trendlineLbl>
              <c:layout>
                <c:manualLayout>
                  <c:x val="-0.4532041195063512"/>
                  <c:y val="8.9028521434820651E-2"/>
                </c:manualLayout>
              </c:layout>
              <c:numFmt formatCode="#,##0.000000" sourceLinked="0"/>
            </c:trendlineLbl>
          </c:trendline>
          <c:xVal>
            <c:numRef>
              <c:f>'Ration Aufzucht-Mast'!$AK$35:$AK$43</c:f>
            </c:numRef>
          </c:xVal>
          <c:yVal>
            <c:numRef>
              <c:f>'Ration Aufzucht-Mast'!$AO$35:$AO$43</c:f>
            </c:numRef>
          </c:yVal>
          <c:smooth val="0"/>
          <c:extLst>
            <c:ext xmlns:c16="http://schemas.microsoft.com/office/drawing/2014/chart" uri="{C3380CC4-5D6E-409C-BE32-E72D297353CC}">
              <c16:uniqueId val="{00000003-0F8C-4A60-B19F-BEB5113B4514}"/>
            </c:ext>
          </c:extLst>
        </c:ser>
        <c:ser>
          <c:idx val="4"/>
          <c:order val="4"/>
          <c:tx>
            <c:strRef>
              <c:f>'Ration Aufzucht-Mast'!$AP$34</c:f>
              <c:strCache>
                <c:ptCount val="1"/>
                <c:pt idx="0">
                  <c:v>800</c:v>
                </c:pt>
              </c:strCache>
            </c:strRef>
          </c:tx>
          <c:spPr>
            <a:ln w="28575">
              <a:noFill/>
            </a:ln>
          </c:spPr>
          <c:xVal>
            <c:numRef>
              <c:f>'Ration Aufzucht-Mast'!$AK$35:$AK$43</c:f>
            </c:numRef>
          </c:xVal>
          <c:yVal>
            <c:numRef>
              <c:f>'Ration Aufzucht-Mast'!$AP$35:$AP$43</c:f>
            </c:numRef>
          </c:yVal>
          <c:smooth val="0"/>
          <c:extLst>
            <c:ext xmlns:c16="http://schemas.microsoft.com/office/drawing/2014/chart" uri="{C3380CC4-5D6E-409C-BE32-E72D297353CC}">
              <c16:uniqueId val="{00000004-0F8C-4A60-B19F-BEB5113B4514}"/>
            </c:ext>
          </c:extLst>
        </c:ser>
        <c:ser>
          <c:idx val="5"/>
          <c:order val="5"/>
          <c:tx>
            <c:strRef>
              <c:f>'Ration Aufzucht-Mast'!#REF!</c:f>
              <c:strCache>
                <c:ptCount val="1"/>
                <c:pt idx="0">
                  <c:v>#REF!</c:v>
                </c:pt>
              </c:strCache>
            </c:strRef>
          </c:tx>
          <c:spPr>
            <a:ln w="28575">
              <a:noFill/>
            </a:ln>
          </c:spPr>
          <c:trendline>
            <c:trendlineType val="exp"/>
            <c:dispRSqr val="1"/>
            <c:dispEq val="1"/>
            <c:trendlineLbl>
              <c:layout>
                <c:manualLayout>
                  <c:x val="-0.36893864442323421"/>
                  <c:y val="3.6633770778652666E-2"/>
                </c:manualLayout>
              </c:layout>
              <c:numFmt formatCode="#,##0.000000" sourceLinked="0"/>
              <c:txPr>
                <a:bodyPr/>
                <a:lstStyle/>
                <a:p>
                  <a:pPr algn="ctr" rtl="0">
                    <a:defRPr lang="en-US" sz="1000" b="0" i="0" u="none" strike="noStrike" kern="1200" baseline="0">
                      <a:solidFill>
                        <a:sysClr val="windowText" lastClr="000000"/>
                      </a:solidFill>
                      <a:latin typeface="+mn-lt"/>
                      <a:ea typeface="+mn-ea"/>
                      <a:cs typeface="+mn-cs"/>
                    </a:defRPr>
                  </a:pPr>
                  <a:endParaRPr lang="de-DE"/>
                </a:p>
              </c:txPr>
            </c:trendlineLbl>
          </c:trendline>
          <c:xVal>
            <c:numRef>
              <c:f>'Ration Aufzucht-Mast'!$AK$35:$AK$43</c:f>
            </c:numRef>
          </c:xVal>
          <c:yVal>
            <c:numRef>
              <c:f>'Ration Aufzucht-Mast'!$AQ$35:$AQ$43</c:f>
            </c:numRef>
          </c:yVal>
          <c:smooth val="0"/>
          <c:extLst>
            <c:ext xmlns:c16="http://schemas.microsoft.com/office/drawing/2014/chart" uri="{C3380CC4-5D6E-409C-BE32-E72D297353CC}">
              <c16:uniqueId val="{00000005-0F8C-4A60-B19F-BEB5113B4514}"/>
            </c:ext>
          </c:extLst>
        </c:ser>
        <c:ser>
          <c:idx val="6"/>
          <c:order val="6"/>
          <c:tx>
            <c:strRef>
              <c:f>'Ration Aufzucht-Mast'!#REF!</c:f>
              <c:strCache>
                <c:ptCount val="1"/>
                <c:pt idx="0">
                  <c:v>#REF!</c:v>
                </c:pt>
              </c:strCache>
            </c:strRef>
          </c:tx>
          <c:spPr>
            <a:ln w="28575">
              <a:noFill/>
            </a:ln>
          </c:spPr>
          <c:trendline>
            <c:trendlineType val="exp"/>
            <c:dispRSqr val="1"/>
            <c:dispEq val="1"/>
            <c:trendlineLbl>
              <c:layout>
                <c:manualLayout>
                  <c:x val="-0.36171190617455551"/>
                  <c:y val="-2.712230971128609E-2"/>
                </c:manualLayout>
              </c:layout>
              <c:numFmt formatCode="#,##0.000000" sourceLinked="0"/>
            </c:trendlineLbl>
          </c:trendline>
          <c:xVal>
            <c:numRef>
              <c:f>'Ration Aufzucht-Mast'!$AK$35:$AK$43</c:f>
            </c:numRef>
          </c:xVal>
          <c:yVal>
            <c:numRef>
              <c:f>'Ration Aufzucht-Mast'!$AR$35:$AR$43</c:f>
            </c:numRef>
          </c:yVal>
          <c:smooth val="0"/>
          <c:extLst>
            <c:ext xmlns:c16="http://schemas.microsoft.com/office/drawing/2014/chart" uri="{C3380CC4-5D6E-409C-BE32-E72D297353CC}">
              <c16:uniqueId val="{00000006-0F8C-4A60-B19F-BEB5113B4514}"/>
            </c:ext>
          </c:extLst>
        </c:ser>
        <c:ser>
          <c:idx val="7"/>
          <c:order val="7"/>
          <c:tx>
            <c:strRef>
              <c:f>'Ration Aufzucht-Mast'!$AS$34</c:f>
              <c:strCache>
                <c:ptCount val="1"/>
                <c:pt idx="0">
                  <c:v>Mittelwert</c:v>
                </c:pt>
              </c:strCache>
            </c:strRef>
          </c:tx>
          <c:spPr>
            <a:ln w="28575">
              <a:noFill/>
            </a:ln>
          </c:spPr>
          <c:trendline>
            <c:trendlineType val="poly"/>
            <c:order val="2"/>
            <c:dispRSqr val="1"/>
            <c:dispEq val="1"/>
            <c:trendlineLbl>
              <c:layout>
                <c:manualLayout>
                  <c:x val="-1.4041188608703454E-2"/>
                  <c:y val="0.37565312677052437"/>
                </c:manualLayout>
              </c:layout>
              <c:numFmt formatCode="#,##0.000000" sourceLinked="0"/>
            </c:trendlineLbl>
          </c:trendline>
          <c:xVal>
            <c:numRef>
              <c:f>'Ration Aufzucht-Mast'!$AK$35:$AK$43</c:f>
            </c:numRef>
          </c:xVal>
          <c:yVal>
            <c:numRef>
              <c:f>'Ration Aufzucht-Mast'!$AS$35:$AS$43</c:f>
            </c:numRef>
          </c:yVal>
          <c:smooth val="0"/>
          <c:extLst>
            <c:ext xmlns:c16="http://schemas.microsoft.com/office/drawing/2014/chart" uri="{C3380CC4-5D6E-409C-BE32-E72D297353CC}">
              <c16:uniqueId val="{00000007-0F8C-4A60-B19F-BEB5113B4514}"/>
            </c:ext>
          </c:extLst>
        </c:ser>
        <c:dLbls>
          <c:showLegendKey val="0"/>
          <c:showVal val="0"/>
          <c:showCatName val="0"/>
          <c:showSerName val="0"/>
          <c:showPercent val="0"/>
          <c:showBubbleSize val="0"/>
        </c:dLbls>
        <c:axId val="130508672"/>
        <c:axId val="130510208"/>
      </c:scatterChart>
      <c:valAx>
        <c:axId val="130508672"/>
        <c:scaling>
          <c:orientation val="minMax"/>
        </c:scaling>
        <c:delete val="0"/>
        <c:axPos val="b"/>
        <c:numFmt formatCode="0.0" sourceLinked="1"/>
        <c:majorTickMark val="out"/>
        <c:minorTickMark val="none"/>
        <c:tickLblPos val="nextTo"/>
        <c:crossAx val="130510208"/>
        <c:crosses val="autoZero"/>
        <c:crossBetween val="midCat"/>
      </c:valAx>
      <c:valAx>
        <c:axId val="130510208"/>
        <c:scaling>
          <c:orientation val="minMax"/>
        </c:scaling>
        <c:delete val="0"/>
        <c:axPos val="l"/>
        <c:majorGridlines/>
        <c:numFmt formatCode="0.0" sourceLinked="1"/>
        <c:majorTickMark val="out"/>
        <c:minorTickMark val="none"/>
        <c:tickLblPos val="nextTo"/>
        <c:crossAx val="130508672"/>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'Ration Aufzucht-Mast'!$AS$48</c:f>
              <c:strCache>
                <c:ptCount val="1"/>
                <c:pt idx="0">
                  <c:v>175</c:v>
                </c:pt>
              </c:strCache>
            </c:strRef>
          </c:tx>
          <c:spPr>
            <a:ln w="28575">
              <a:noFill/>
            </a:ln>
          </c:spPr>
          <c:xVal>
            <c:numRef>
              <c:f>'Ration Aufzucht-Mast'!$AV$47:$AY$47</c:f>
            </c:numRef>
          </c:xVal>
          <c:yVal>
            <c:numRef>
              <c:f>'Ration Aufzucht-Mast'!$AV$48:$AY$48</c:f>
            </c:numRef>
          </c:yVal>
          <c:smooth val="0"/>
          <c:extLst>
            <c:ext xmlns:c16="http://schemas.microsoft.com/office/drawing/2014/chart" uri="{C3380CC4-5D6E-409C-BE32-E72D297353CC}">
              <c16:uniqueId val="{00000000-A76B-4BAF-BCCE-9E1AC5C66E76}"/>
            </c:ext>
          </c:extLst>
        </c:ser>
        <c:ser>
          <c:idx val="10"/>
          <c:order val="1"/>
          <c:tx>
            <c:strRef>
              <c:f>'Ration Aufzucht-Mast'!$AS$58</c:f>
              <c:strCache>
                <c:ptCount val="1"/>
                <c:pt idx="0">
                  <c:v>Mittelwert Ca</c:v>
                </c:pt>
              </c:strCache>
            </c:strRef>
          </c:tx>
          <c:spPr>
            <a:ln w="28575">
              <a:noFill/>
            </a:ln>
          </c:spPr>
          <c:trendline>
            <c:trendlineType val="linear"/>
            <c:dispRSqr val="1"/>
            <c:dispEq val="1"/>
            <c:trendlineLbl>
              <c:layout>
                <c:manualLayout>
                  <c:x val="0.33524063415287547"/>
                  <c:y val="0.55461346140543322"/>
                </c:manualLayout>
              </c:layout>
              <c:numFmt formatCode="General" sourceLinked="0"/>
              <c:txPr>
                <a:bodyPr/>
                <a:lstStyle/>
                <a:p>
                  <a:pPr>
                    <a:defRPr sz="1400"/>
                  </a:pPr>
                  <a:endParaRPr lang="de-DE"/>
                </a:p>
              </c:txPr>
            </c:trendlineLbl>
          </c:trendline>
          <c:xVal>
            <c:numRef>
              <c:f>'Ration Aufzucht-Mast'!$AT$47:$AY$47</c:f>
            </c:numRef>
          </c:xVal>
          <c:yVal>
            <c:numRef>
              <c:f>'Ration Aufzucht-Mast'!$AT$58:$AY$58</c:f>
            </c:numRef>
          </c:yVal>
          <c:smooth val="0"/>
          <c:extLst>
            <c:ext xmlns:c16="http://schemas.microsoft.com/office/drawing/2014/chart" uri="{C3380CC4-5D6E-409C-BE32-E72D297353CC}">
              <c16:uniqueId val="{00000001-A76B-4BAF-BCCE-9E1AC5C66E76}"/>
            </c:ext>
          </c:extLst>
        </c:ser>
        <c:dLbls>
          <c:showLegendKey val="0"/>
          <c:showVal val="0"/>
          <c:showCatName val="0"/>
          <c:showSerName val="0"/>
          <c:showPercent val="0"/>
          <c:showBubbleSize val="0"/>
        </c:dLbls>
        <c:axId val="130538112"/>
        <c:axId val="130224512"/>
      </c:scatterChart>
      <c:valAx>
        <c:axId val="130538112"/>
        <c:scaling>
          <c:orientation val="minMax"/>
        </c:scaling>
        <c:delete val="0"/>
        <c:axPos val="b"/>
        <c:numFmt formatCode="General" sourceLinked="1"/>
        <c:majorTickMark val="out"/>
        <c:minorTickMark val="none"/>
        <c:tickLblPos val="nextTo"/>
        <c:crossAx val="130224512"/>
        <c:crosses val="autoZero"/>
        <c:crossBetween val="midCat"/>
      </c:valAx>
      <c:valAx>
        <c:axId val="130224512"/>
        <c:scaling>
          <c:orientation val="minMax"/>
        </c:scaling>
        <c:delete val="0"/>
        <c:axPos val="l"/>
        <c:majorGridlines/>
        <c:numFmt formatCode="General" sourceLinked="1"/>
        <c:majorTickMark val="out"/>
        <c:minorTickMark val="none"/>
        <c:tickLblPos val="nextTo"/>
        <c:crossAx val="130538112"/>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trlProps/ctrlProp1.xml><?xml version="1.0" encoding="utf-8"?>
<formControlPr xmlns="http://schemas.microsoft.com/office/spreadsheetml/2009/9/main" objectType="Drop" dropLines="20" dropStyle="combo" dx="31" fmlaLink="A3" fmlaRange="Tabelle_Konz" sel="50" val="40"/>
</file>

<file path=xl/ctrlProps/ctrlProp10.xml><?xml version="1.0" encoding="utf-8"?>
<formControlPr xmlns="http://schemas.microsoft.com/office/spreadsheetml/2009/9/main" objectType="Drop" dropLines="20" dropStyle="combo" dx="31" fmlaLink="A13" fmlaRange="Tabelle_Konz" sel="63" val="50"/>
</file>

<file path=xl/ctrlProps/ctrlProp11.xml><?xml version="1.0" encoding="utf-8"?>
<formControlPr xmlns="http://schemas.microsoft.com/office/spreadsheetml/2009/9/main" objectType="Drop" dropLines="20" dropStyle="combo" dx="31" fmlaLink="A14" fmlaRange="Tabelle_Konz" sel="63" val="50"/>
</file>

<file path=xl/ctrlProps/ctrlProp12.xml><?xml version="1.0" encoding="utf-8"?>
<formControlPr xmlns="http://schemas.microsoft.com/office/spreadsheetml/2009/9/main" objectType="Drop" dropLines="20" dropStyle="combo" dx="31" fmlaLink="A15" fmlaRange="Tabelle_Konz" sel="79" val="67"/>
</file>

<file path=xl/ctrlProps/ctrlProp13.xml><?xml version="1.0" encoding="utf-8"?>
<formControlPr xmlns="http://schemas.microsoft.com/office/spreadsheetml/2009/9/main" objectType="Drop" dropLines="20" dropStyle="combo" dx="31" fmlaLink="A16" fmlaRange="Tabelle_Konz" sel="79" val="67"/>
</file>

<file path=xl/ctrlProps/ctrlProp14.xml><?xml version="1.0" encoding="utf-8"?>
<formControlPr xmlns="http://schemas.microsoft.com/office/spreadsheetml/2009/9/main" objectType="Drop" dropLines="20" dropStyle="combo" dx="31" fmlaLink="A17" fmlaRange="Tabelle_Konz" sel="79" val="67"/>
</file>

<file path=xl/ctrlProps/ctrlProp15.xml><?xml version="1.0" encoding="utf-8"?>
<formControlPr xmlns="http://schemas.microsoft.com/office/spreadsheetml/2009/9/main" objectType="Drop" dropLines="20" dropStyle="combo" dx="31" fmlaLink="A18" fmlaRange="Tabelle_Konz" sel="79" val="67"/>
</file>

<file path=xl/ctrlProps/ctrlProp16.xml><?xml version="1.0" encoding="utf-8"?>
<formControlPr xmlns="http://schemas.microsoft.com/office/spreadsheetml/2009/9/main" objectType="Drop" dropLines="20" dropStyle="combo" dx="31" fmlaLink="A19" fmlaRange="Tabelle_Konz" sel="79" val="67"/>
</file>

<file path=xl/ctrlProps/ctrlProp17.xml><?xml version="1.0" encoding="utf-8"?>
<formControlPr xmlns="http://schemas.microsoft.com/office/spreadsheetml/2009/9/main" objectType="Drop" dropLines="20" dropStyle="combo" dx="31" fmlaLink="A20" fmlaRange="Tabelle_Konz" sel="79" val="67"/>
</file>

<file path=xl/ctrlProps/ctrlProp18.xml><?xml version="1.0" encoding="utf-8"?>
<formControlPr xmlns="http://schemas.microsoft.com/office/spreadsheetml/2009/9/main" objectType="Drop" dropLines="20" dropStyle="combo" dx="31" fmlaLink="A5" fmlaRange="Tabelle_Konz" sel="40" val="35"/>
</file>

<file path=xl/ctrlProps/ctrlProp19.xml><?xml version="1.0" encoding="utf-8"?>
<formControlPr xmlns="http://schemas.microsoft.com/office/spreadsheetml/2009/9/main" objectType="Drop" dropLines="20" dropStyle="combo" dx="31" fmlaLink="C21" fmlaRange="Tabelle_1" sel="193" val="175"/>
</file>

<file path=xl/ctrlProps/ctrlProp2.xml><?xml version="1.0" encoding="utf-8"?>
<formControlPr xmlns="http://schemas.microsoft.com/office/spreadsheetml/2009/9/main" objectType="Drop" dropLines="20" dropStyle="combo" dx="31" fmlaLink="A4" fmlaRange="Tabelle_Konz" sel="80" val="67"/>
</file>

<file path=xl/ctrlProps/ctrlProp20.xml><?xml version="1.0" encoding="utf-8"?>
<formControlPr xmlns="http://schemas.microsoft.com/office/spreadsheetml/2009/9/main" objectType="Drop" dropLines="20" dropStyle="combo" dx="31" fmlaLink="C22" fmlaRange="Tabelle_1" sel="4" val="16"/>
</file>

<file path=xl/ctrlProps/ctrlProp21.xml><?xml version="1.0" encoding="utf-8"?>
<formControlPr xmlns="http://schemas.microsoft.com/office/spreadsheetml/2009/9/main" objectType="Drop" dropLines="20" dropStyle="combo" dx="31" fmlaLink="C23" fmlaRange="Tabelle_1" sel="272" val="261"/>
</file>

<file path=xl/ctrlProps/ctrlProp22.xml><?xml version="1.0" encoding="utf-8"?>
<formControlPr xmlns="http://schemas.microsoft.com/office/spreadsheetml/2009/9/main" objectType="Drop" dropLines="20" dropStyle="combo" dx="31" fmlaLink="C28" fmlaRange="Tabelle_1" sel="247" val="234"/>
</file>

<file path=xl/ctrlProps/ctrlProp23.xml><?xml version="1.0" encoding="utf-8"?>
<formControlPr xmlns="http://schemas.microsoft.com/office/spreadsheetml/2009/9/main" objectType="Drop" dropLines="20" dropStyle="combo" dx="31" fmlaLink="C37" fmlaRange="Tabelle_1" sel="47" val="29"/>
</file>

<file path=xl/ctrlProps/ctrlProp24.xml><?xml version="1.0" encoding="utf-8"?>
<formControlPr xmlns="http://schemas.microsoft.com/office/spreadsheetml/2009/9/main" objectType="Drop" dropLines="20" dropStyle="combo" dx="31" fmlaLink="C31" fmlaRange="Tabelle_1" sel="273" val="259"/>
</file>

<file path=xl/ctrlProps/ctrlProp25.xml><?xml version="1.0" encoding="utf-8"?>
<formControlPr xmlns="http://schemas.microsoft.com/office/spreadsheetml/2009/9/main" objectType="Drop" dropLines="20" dropStyle="combo" dx="31" fmlaLink="C29" fmlaRange="Tabelle_1" sel="37" val="27"/>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checked="Checked" firstButton="1" fmlaLink="TM_FM"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Drop" dropLines="20" dropStyle="combo" dx="31" fmlaLink="A6" fmlaRange="Tabelle_Konz" sel="63" val="60"/>
</file>

<file path=xl/ctrlProps/ctrlProp30.xml><?xml version="1.0" encoding="utf-8"?>
<formControlPr xmlns="http://schemas.microsoft.com/office/spreadsheetml/2009/9/main" objectType="Drop" dropLines="20" dropStyle="combo" dx="31" fmlaLink="C38" fmlaRange="Tabelle_1" sel="255" val="245"/>
</file>

<file path=xl/ctrlProps/ctrlProp31.xml><?xml version="1.0" encoding="utf-8"?>
<formControlPr xmlns="http://schemas.microsoft.com/office/spreadsheetml/2009/9/main" objectType="Radio" checked="Checked" firstButton="1" fmlaLink="Art"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Drop" dropLines="20" dropStyle="combo" dx="31" fmlaLink="C24" fmlaRange="Tabelle_1" sel="276" val="261"/>
</file>

<file path=xl/ctrlProps/ctrlProp35.xml><?xml version="1.0" encoding="utf-8"?>
<formControlPr xmlns="http://schemas.microsoft.com/office/spreadsheetml/2009/9/main" objectType="Drop" dropLines="20" dropStyle="combo" dx="31" fmlaLink="C30" fmlaRange="Tabelle_1" sel="275" val="26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TMR" lockText="1"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Drop" dropLines="20" dropStyle="combo" dx="31" fmlaLink="A7" fmlaRange="Tabelle_Konz" sel="63" val="61"/>
</file>

<file path=xl/ctrlProps/ctrlProp40.xml><?xml version="1.0" encoding="utf-8"?>
<formControlPr xmlns="http://schemas.microsoft.com/office/spreadsheetml/2009/9/main" objectType="Radio" firstButton="1" fmlaLink="Rasse" lockText="1" noThreeD="1"/>
</file>

<file path=xl/ctrlProps/ctrlProp41.xml><?xml version="1.0" encoding="utf-8"?>
<formControlPr xmlns="http://schemas.microsoft.com/office/spreadsheetml/2009/9/main" objectType="Radio" checked="Checked"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Drop" dropLines="20" dropStyle="combo" dx="31" fmlaLink="C20" fmlaRange="Tabelle_1" sel="48" val="42"/>
</file>

<file path=xl/ctrlProps/ctrlProp44.xml><?xml version="1.0" encoding="utf-8"?>
<formControlPr xmlns="http://schemas.microsoft.com/office/spreadsheetml/2009/9/main" objectType="Drop" dropLines="50" dropStyle="combo" dx="31" fmlaLink="AF4" fmlaRange="Tabelle_1" noThreeD="1" sel="77" val="76"/>
</file>

<file path=xl/ctrlProps/ctrlProp45.xml><?xml version="1.0" encoding="utf-8"?>
<formControlPr xmlns="http://schemas.microsoft.com/office/spreadsheetml/2009/9/main" objectType="Spin" dx="15" fmlaLink="AF15" max="65" min="25" page="10" val="30"/>
</file>

<file path=xl/ctrlProps/ctrlProp46.xml><?xml version="1.0" encoding="utf-8"?>
<formControlPr xmlns="http://schemas.microsoft.com/office/spreadsheetml/2009/9/main" objectType="Spin" dx="15" fmlaLink="AF12" max="250" min="200" page="10" val="210"/>
</file>

<file path=xl/ctrlProps/ctrlProp47.xml><?xml version="1.0" encoding="utf-8"?>
<formControlPr xmlns="http://schemas.microsoft.com/office/spreadsheetml/2009/9/main" objectType="Spin" dx="15" fmlaLink="AF13" max="30" page="10" val="10"/>
</file>

<file path=xl/ctrlProps/ctrlProp48.xml><?xml version="1.0" encoding="utf-8"?>
<formControlPr xmlns="http://schemas.microsoft.com/office/spreadsheetml/2009/9/main" objectType="Drop" dropLines="50" dropStyle="combo" dx="31" fmlaLink="AF6" fmlaRange="Tabelle_1" noThreeD="1" sel="243" val="240"/>
</file>

<file path=xl/ctrlProps/ctrlProp49.xml><?xml version="1.0" encoding="utf-8"?>
<formControlPr xmlns="http://schemas.microsoft.com/office/spreadsheetml/2009/9/main" objectType="Spin" dx="15" fmlaLink="J6" inc="2000" max="11000" min="7000" page="10" val="9000"/>
</file>

<file path=xl/ctrlProps/ctrlProp5.xml><?xml version="1.0" encoding="utf-8"?>
<formControlPr xmlns="http://schemas.microsoft.com/office/spreadsheetml/2009/9/main" objectType="Drop" dropLines="20" dropStyle="combo" dx="31" fmlaLink="A8" fmlaRange="Tabelle_Konz" sel="40" val="21"/>
</file>

<file path=xl/ctrlProps/ctrlProp50.xml><?xml version="1.0" encoding="utf-8"?>
<formControlPr xmlns="http://schemas.microsoft.com/office/spreadsheetml/2009/9/main" objectType="Spin" dx="31" fmlaLink="$AF$17" max="120" min="80" page="10" val="100"/>
</file>

<file path=xl/ctrlProps/ctrlProp51.xml><?xml version="1.0" encoding="utf-8"?>
<formControlPr xmlns="http://schemas.microsoft.com/office/spreadsheetml/2009/9/main" objectType="Drop" dropLines="20" dropStyle="combo" dx="31" fmlaLink="A4" fmlaRange="Tabelle_1" sel="3" val="0"/>
</file>

<file path=xl/ctrlProps/ctrlProp52.xml><?xml version="1.0" encoding="utf-8"?>
<formControlPr xmlns="http://schemas.microsoft.com/office/spreadsheetml/2009/9/main" objectType="Drop" dropLines="20" dropStyle="combo" dx="31" fmlaLink="A7" fmlaRange="Tabelle_1" sel="13" val="4"/>
</file>

<file path=xl/ctrlProps/ctrlProp53.xml><?xml version="1.0" encoding="utf-8"?>
<formControlPr xmlns="http://schemas.microsoft.com/office/spreadsheetml/2009/9/main" objectType="Drop" dropLines="20" dropStyle="combo" dx="31" fmlaLink="A8" fmlaRange="Tabelle_1" sel="16" val="8"/>
</file>

<file path=xl/ctrlProps/ctrlProp54.xml><?xml version="1.0" encoding="utf-8"?>
<formControlPr xmlns="http://schemas.microsoft.com/office/spreadsheetml/2009/9/main" objectType="Drop" dropLines="20" dropStyle="combo" dx="31" fmlaLink="A9" fmlaRange="Tabelle_1" sel="37" val="27"/>
</file>

<file path=xl/ctrlProps/ctrlProp55.xml><?xml version="1.0" encoding="utf-8"?>
<formControlPr xmlns="http://schemas.microsoft.com/office/spreadsheetml/2009/9/main" objectType="Drop" dropLines="20" dropStyle="combo" dx="31" fmlaLink="A10" fmlaRange="Tabelle_1" sel="255" val="246"/>
</file>

<file path=xl/ctrlProps/ctrlProp56.xml><?xml version="1.0" encoding="utf-8"?>
<formControlPr xmlns="http://schemas.microsoft.com/office/spreadsheetml/2009/9/main" objectType="Drop" dropLines="20" dropStyle="combo" dx="31" fmlaLink="A11" fmlaRange="Tabelle_1" sel="37" val="29"/>
</file>

<file path=xl/ctrlProps/ctrlProp57.xml><?xml version="1.0" encoding="utf-8"?>
<formControlPr xmlns="http://schemas.microsoft.com/office/spreadsheetml/2009/9/main" objectType="Drop" dropLines="20" dropStyle="combo" dx="31" fmlaLink="A12" fmlaRange="Tabelle_1" sel="10" val="5"/>
</file>

<file path=xl/ctrlProps/ctrlProp58.xml><?xml version="1.0" encoding="utf-8"?>
<formControlPr xmlns="http://schemas.microsoft.com/office/spreadsheetml/2009/9/main" objectType="Drop" dropLines="20" dropStyle="combo" dx="31" fmlaLink="A13" fmlaRange="Tabelle_1" sel="273" val="261"/>
</file>

<file path=xl/ctrlProps/ctrlProp59.xml><?xml version="1.0" encoding="utf-8"?>
<formControlPr xmlns="http://schemas.microsoft.com/office/spreadsheetml/2009/9/main" objectType="Drop" dropLines="20" dropStyle="combo" dx="31" fmlaLink="A14" fmlaRange="Tabelle_1" sel="277" val="261"/>
</file>

<file path=xl/ctrlProps/ctrlProp6.xml><?xml version="1.0" encoding="utf-8"?>
<formControlPr xmlns="http://schemas.microsoft.com/office/spreadsheetml/2009/9/main" objectType="Drop" dropLines="20" dropStyle="combo" dx="31" fmlaLink="A9" fmlaRange="Tabelle_Konz" sel="62" val="61"/>
</file>

<file path=xl/ctrlProps/ctrlProp60.xml><?xml version="1.0" encoding="utf-8"?>
<formControlPr xmlns="http://schemas.microsoft.com/office/spreadsheetml/2009/9/main" objectType="Drop" dropLines="20" dropStyle="combo" dx="31" fmlaLink="A15" fmlaRange="Tabelle_1" sel="277" val="261"/>
</file>

<file path=xl/ctrlProps/ctrlProp61.xml><?xml version="1.0" encoding="utf-8"?>
<formControlPr xmlns="http://schemas.microsoft.com/office/spreadsheetml/2009/9/main" objectType="Drop" dropLines="20" dropStyle="combo" dx="31" fmlaLink="A16" fmlaRange="Tabelle_1" sel="11" val="5"/>
</file>

<file path=xl/ctrlProps/ctrlProp62.xml><?xml version="1.0" encoding="utf-8"?>
<formControlPr xmlns="http://schemas.microsoft.com/office/spreadsheetml/2009/9/main" objectType="Drop" dropLines="20" dropStyle="combo" dx="31" fmlaLink="A17" fmlaRange="Tabelle_1" sel="279" val="261"/>
</file>

<file path=xl/ctrlProps/ctrlProp63.xml><?xml version="1.0" encoding="utf-8"?>
<formControlPr xmlns="http://schemas.microsoft.com/office/spreadsheetml/2009/9/main" objectType="Drop" dropLines="20" dropStyle="combo" dx="31" fmlaLink="A18" fmlaRange="Tabelle_KF" sel="0" val="0"/>
</file>

<file path=xl/ctrlProps/ctrlProp64.xml><?xml version="1.0" encoding="utf-8"?>
<formControlPr xmlns="http://schemas.microsoft.com/office/spreadsheetml/2009/9/main" objectType="Drop" dropLines="20" dropStyle="combo" dx="31" fmlaLink="A18" fmlaRange="Tabelle_1" sel="277" val="261"/>
</file>

<file path=xl/ctrlProps/ctrlProp65.xml><?xml version="1.0" encoding="utf-8"?>
<formControlPr xmlns="http://schemas.microsoft.com/office/spreadsheetml/2009/9/main" objectType="Drop" dropLines="20" dropStyle="combo" dx="31" fmlaLink="A18" fmlaRange="Tabelle_KF" sel="0" val="0"/>
</file>

<file path=xl/ctrlProps/ctrlProp66.xml><?xml version="1.0" encoding="utf-8"?>
<formControlPr xmlns="http://schemas.microsoft.com/office/spreadsheetml/2009/9/main" objectType="Drop" dropLines="20" dropStyle="combo" dx="31" fmlaLink="A19" fmlaRange="Tabelle_1" sel="278" val="261"/>
</file>

<file path=xl/ctrlProps/ctrlProp67.xml><?xml version="1.0" encoding="utf-8"?>
<formControlPr xmlns="http://schemas.microsoft.com/office/spreadsheetml/2009/9/main" objectType="Drop" dropLines="20" dropStyle="combo" dx="31" fmlaLink="A18" fmlaRange="Tabelle_KF" sel="0" val="0"/>
</file>

<file path=xl/ctrlProps/ctrlProp68.xml><?xml version="1.0" encoding="utf-8"?>
<formControlPr xmlns="http://schemas.microsoft.com/office/spreadsheetml/2009/9/main" objectType="Drop" dropLines="20" dropStyle="combo" dx="31" fmlaLink="A20" fmlaRange="Tabelle_1" sel="278" val="261"/>
</file>

<file path=xl/ctrlProps/ctrlProp69.xml><?xml version="1.0" encoding="utf-8"?>
<formControlPr xmlns="http://schemas.microsoft.com/office/spreadsheetml/2009/9/main" objectType="Drop" dropLines="20" dropStyle="combo" dx="31" fmlaLink="A18" fmlaRange="Tabelle_KF" sel="0" val="0"/>
</file>

<file path=xl/ctrlProps/ctrlProp7.xml><?xml version="1.0" encoding="utf-8"?>
<formControlPr xmlns="http://schemas.microsoft.com/office/spreadsheetml/2009/9/main" objectType="Drop" dropLines="20" dropStyle="combo" dx="31" fmlaLink="A10" fmlaRange="Tabelle_Konz" sel="61" val="56"/>
</file>

<file path=xl/ctrlProps/ctrlProp70.xml><?xml version="1.0" encoding="utf-8"?>
<formControlPr xmlns="http://schemas.microsoft.com/office/spreadsheetml/2009/9/main" objectType="Drop" dropLines="20" dropStyle="combo" dx="31" fmlaLink="A21" fmlaRange="Tabelle_1" sel="279" val="261"/>
</file>

<file path=xl/ctrlProps/ctrlProp71.xml><?xml version="1.0" encoding="utf-8"?>
<formControlPr xmlns="http://schemas.microsoft.com/office/spreadsheetml/2009/9/main" objectType="Drop" dropLines="20" dropStyle="combo" dx="31" fmlaLink="A18" fmlaRange="Tabelle_KF" sel="0" val="0"/>
</file>

<file path=xl/ctrlProps/ctrlProp72.xml><?xml version="1.0" encoding="utf-8"?>
<formControlPr xmlns="http://schemas.microsoft.com/office/spreadsheetml/2009/9/main" objectType="Drop" dropLines="20" dropStyle="combo" dx="31" fmlaLink="A22" fmlaRange="Tabelle_KF" sel="0" val="0"/>
</file>

<file path=xl/ctrlProps/ctrlProp73.xml><?xml version="1.0" encoding="utf-8"?>
<formControlPr xmlns="http://schemas.microsoft.com/office/spreadsheetml/2009/9/main" objectType="Drop" dropLines="20" dropStyle="combo" dx="31" fmlaLink="A5" fmlaRange="Tabelle_1" sel="11" val="2"/>
</file>

<file path=xl/ctrlProps/ctrlProp74.xml><?xml version="1.0" encoding="utf-8"?>
<formControlPr xmlns="http://schemas.microsoft.com/office/spreadsheetml/2009/9/main" objectType="Drop" dropLines="20" dropStyle="combo" dx="31" fmlaLink="A6" fmlaRange="Tabelle_1" sel="11" val="3"/>
</file>

<file path=xl/ctrlProps/ctrlProp75.xml><?xml version="1.0" encoding="utf-8"?>
<formControlPr xmlns="http://schemas.microsoft.com/office/spreadsheetml/2009/9/main" objectType="Drop" dropLines="20" dropStyle="combo" dx="31" fmlaLink="A18" fmlaRange="Tabelle_KF" sel="0" val="0"/>
</file>

<file path=xl/ctrlProps/ctrlProp76.xml><?xml version="1.0" encoding="utf-8"?>
<formControlPr xmlns="http://schemas.microsoft.com/office/spreadsheetml/2009/9/main" objectType="Drop" dropLines="20" dropStyle="combo" dx="31" fmlaLink="A22" fmlaRange="Tabelle_1" sel="278" val="261"/>
</file>

<file path=xl/ctrlProps/ctrlProp77.xml><?xml version="1.0" encoding="utf-8"?>
<formControlPr xmlns="http://schemas.microsoft.com/office/spreadsheetml/2009/9/main" objectType="Drop" dropLines="20" dropStyle="combo" dx="31" fmlaLink="A23" fmlaRange="Tabelle_1" sel="254" val="250"/>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checked="Checked" firstButton="1" fmlaLink="G4" lockText="1" noThreeD="1"/>
</file>

<file path=xl/ctrlProps/ctrlProp8.xml><?xml version="1.0" encoding="utf-8"?>
<formControlPr xmlns="http://schemas.microsoft.com/office/spreadsheetml/2009/9/main" objectType="Drop" dropLines="20" dropStyle="combo" dx="31" fmlaLink="A11" fmlaRange="Tabelle_Konz" sel="63" val="50"/>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checked="Checked" firstButton="1" fmlaLink="B4"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fmlaLink="K4"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Drop" dropLines="20" dropStyle="combo" dx="31" fmlaLink="C20" fmlaRange="Tabelle_1" sel="156" val="143"/>
</file>

<file path=xl/ctrlProps/ctrlProp88.xml><?xml version="1.0" encoding="utf-8"?>
<formControlPr xmlns="http://schemas.microsoft.com/office/spreadsheetml/2009/9/main" objectType="Drop" dropLines="20" dropStyle="combo" dx="31" fmlaLink="C19" fmlaRange="Tabelle_1" sel="48" val="37"/>
</file>

<file path=xl/ctrlProps/ctrlProp89.xml><?xml version="1.0" encoding="utf-8"?>
<formControlPr xmlns="http://schemas.microsoft.com/office/spreadsheetml/2009/9/main" objectType="Drop" dropLines="20" dropStyle="combo" dx="31" fmlaLink="C18" fmlaRange="Tabelle_1" sel="47" val="32"/>
</file>

<file path=xl/ctrlProps/ctrlProp9.xml><?xml version="1.0" encoding="utf-8"?>
<formControlPr xmlns="http://schemas.microsoft.com/office/spreadsheetml/2009/9/main" objectType="Drop" dropLines="20" dropStyle="combo" dx="31" fmlaLink="A12" fmlaRange="Tabelle_Konz" sel="63" val="50"/>
</file>

<file path=xl/ctrlProps/ctrlProp90.xml><?xml version="1.0" encoding="utf-8"?>
<formControlPr xmlns="http://schemas.microsoft.com/office/spreadsheetml/2009/9/main" objectType="Spin" dx="15" fmlaLink="$V$5" max="120" min="80" page="10" val="100"/>
</file>

<file path=xl/ctrlProps/ctrlProp91.xml><?xml version="1.0" encoding="utf-8"?>
<formControlPr xmlns="http://schemas.microsoft.com/office/spreadsheetml/2009/9/main" objectType="Radio" checked="Checked" lockText="1" noThreeD="1"/>
</file>

<file path=xl/ctrlProps/ctrlProp92.xml><?xml version="1.0" encoding="utf-8"?>
<formControlPr xmlns="http://schemas.microsoft.com/office/spreadsheetml/2009/9/main" objectType="Spin" dx="15" fmlaLink="$U$4" inc="100" max="1600" min="400" page="10" val="700"/>
</file>

<file path=xl/ctrlProps/ctrlProp93.xml><?xml version="1.0" encoding="utf-8"?>
<formControlPr xmlns="http://schemas.microsoft.com/office/spreadsheetml/2009/9/main" objectType="Drop" dropLines="20" dropStyle="combo" dx="31" fmlaLink="C14" fmlaRange="Tabelle_1" sel="156" val="146"/>
</file>

<file path=xl/ctrlProps/ctrlProp94.xml><?xml version="1.0" encoding="utf-8"?>
<formControlPr xmlns="http://schemas.microsoft.com/office/spreadsheetml/2009/9/main" objectType="Drop" dropLines="20" dropStyle="combo" dx="31" fmlaLink="C13" fmlaRange="Tabelle_1" sel="77" val="60"/>
</file>

<file path=xl/ctrlProps/ctrlProp95.xml><?xml version="1.0" encoding="utf-8"?>
<formControlPr xmlns="http://schemas.microsoft.com/office/spreadsheetml/2009/9/main" objectType="Drop" dropLines="20" dropStyle="combo" dx="31" fmlaLink="C10" fmlaRange="Tabelle_1" sel="48" val="41"/>
</file>

<file path=xl/ctrlProps/ctrlProp96.xml><?xml version="1.0" encoding="utf-8"?>
<formControlPr xmlns="http://schemas.microsoft.com/office/spreadsheetml/2009/9/main" objectType="Drop" dropLines="20" dropStyle="combo" dx="31" fmlaLink="C11" fmlaRange="Tabelle_1" sel="233" val="226"/>
</file>

<file path=xl/ctrlProps/ctrlProp97.xml><?xml version="1.0" encoding="utf-8"?>
<formControlPr xmlns="http://schemas.microsoft.com/office/spreadsheetml/2009/9/main" objectType="Drop" dropLines="20" dropStyle="combo" dx="31" fmlaLink="C12" fmlaRange="Tabelle_1" sel="193" val="180"/>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 Id="rId4" Type="http://schemas.microsoft.com/office/2007/relationships/hdphoto" Target="../media/hdphoto1.wdp"/></Relationships>
</file>

<file path=xl/drawings/_rels/drawing10.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5.xml"/><Relationship Id="rId7" Type="http://schemas.openxmlformats.org/officeDocument/2006/relationships/chart" Target="../charts/chart9.xml"/><Relationship Id="rId12" Type="http://schemas.microsoft.com/office/2007/relationships/hdphoto" Target="../media/hdphoto1.wdp"/><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11" Type="http://schemas.openxmlformats.org/officeDocument/2006/relationships/image" Target="../media/image4.png"/><Relationship Id="rId5" Type="http://schemas.openxmlformats.org/officeDocument/2006/relationships/chart" Target="../charts/chart7.xml"/><Relationship Id="rId10" Type="http://schemas.openxmlformats.org/officeDocument/2006/relationships/chart" Target="../charts/chart12.xml"/><Relationship Id="rId4" Type="http://schemas.openxmlformats.org/officeDocument/2006/relationships/chart" Target="../charts/chart6.xml"/><Relationship Id="rId9"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2.xml"/><Relationship Id="rId1" Type="http://schemas.openxmlformats.org/officeDocument/2006/relationships/chart" Target="../charts/chart1.xml"/><Relationship Id="rId4" Type="http://schemas.microsoft.com/office/2007/relationships/hdphoto" Target="../media/hdphoto1.wdp"/></Relationships>
</file>

<file path=xl/drawings/_rels/drawing9.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6059676</xdr:colOff>
      <xdr:row>4</xdr:row>
      <xdr:rowOff>457200</xdr:rowOff>
    </xdr:from>
    <xdr:to>
      <xdr:col>1</xdr:col>
      <xdr:colOff>9020175</xdr:colOff>
      <xdr:row>4</xdr:row>
      <xdr:rowOff>3552825</xdr:rowOff>
    </xdr:to>
    <xdr:grpSp>
      <xdr:nvGrpSpPr>
        <xdr:cNvPr id="23565" name="Group 13">
          <a:extLst>
            <a:ext uri="{FF2B5EF4-FFF2-40B4-BE49-F238E27FC236}">
              <a16:creationId xmlns:a16="http://schemas.microsoft.com/office/drawing/2014/main" id="{00000000-0008-0000-0000-00000D5C0000}"/>
            </a:ext>
          </a:extLst>
        </xdr:cNvPr>
        <xdr:cNvGrpSpPr>
          <a:grpSpLocks noChangeAspect="1"/>
        </xdr:cNvGrpSpPr>
      </xdr:nvGrpSpPr>
      <xdr:grpSpPr bwMode="auto">
        <a:xfrm>
          <a:off x="6821676" y="1533525"/>
          <a:ext cx="2960499" cy="3095625"/>
          <a:chOff x="10701" y="3184"/>
          <a:chExt cx="4515" cy="4719"/>
        </a:xfrm>
      </xdr:grpSpPr>
      <xdr:pic>
        <xdr:nvPicPr>
          <xdr:cNvPr id="15" name="Grafik 14" descr="KuhViehh2">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181" y="3184"/>
            <a:ext cx="4035" cy="2895"/>
          </a:xfrm>
          <a:prstGeom prst="rect">
            <a:avLst/>
          </a:prstGeom>
          <a:noFill/>
          <a:extLst>
            <a:ext uri="{909E8E84-426E-40DD-AFC4-6F175D3DCCD1}">
              <a14:hiddenFill xmlns:a14="http://schemas.microsoft.com/office/drawing/2010/main">
                <a:solidFill>
                  <a:srgbClr val="FFFFFF"/>
                </a:solidFill>
              </a14:hiddenFill>
            </a:ext>
          </a:extLst>
        </xdr:spPr>
      </xdr:pic>
      <mc:AlternateContent xmlns:mc="http://schemas.openxmlformats.org/markup-compatibility/2006">
        <mc:Choice xmlns:a14="http://schemas.microsoft.com/office/drawing/2010/main" Requires="a14">
          <xdr:sp macro="" textlink="">
            <xdr:nvSpPr>
              <xdr:cNvPr id="23567" name="Object 15" hidden="1">
                <a:extLst>
                  <a:ext uri="{63B3BB69-23CF-44E3-9099-C40C66FF867C}">
                    <a14:compatExt spid="_x0000_s23567"/>
                  </a:ext>
                  <a:ext uri="{FF2B5EF4-FFF2-40B4-BE49-F238E27FC236}">
                    <a16:creationId xmlns:a16="http://schemas.microsoft.com/office/drawing/2014/main" id="{00000000-0008-0000-0000-00000F5C0000}"/>
                  </a:ext>
                </a:extLst>
              </xdr:cNvPr>
              <xdr:cNvSpPr/>
            </xdr:nvSpPr>
            <xdr:spPr bwMode="auto">
              <a:xfrm>
                <a:off x="10701" y="4504"/>
                <a:ext cx="3300" cy="2509"/>
              </a:xfrm>
              <a:prstGeom prst="rect">
                <a:avLst/>
              </a:prstGeom>
              <a:noFill/>
              <a:extLst>
                <a:ext uri="{909E8E84-426E-40DD-AFC4-6F175D3DCCD1}">
                  <a14:hiddenFill>
                    <a:solidFill>
                      <a:srgbClr val="FFFFFF"/>
                    </a:solidFill>
                  </a14:hiddenFill>
                </a:ext>
              </a:extLst>
            </xdr:spPr>
          </xdr:sp>
        </mc:Choice>
        <mc:Fallback/>
      </mc:AlternateContent>
      <xdr:pic>
        <xdr:nvPicPr>
          <xdr:cNvPr id="17" name="Grafik 16" descr="Nolana02_02_1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24800" t="26038" r="28755" b="28760"/>
          <a:stretch>
            <a:fillRect/>
          </a:stretch>
        </xdr:blipFill>
        <xdr:spPr bwMode="auto">
          <a:xfrm>
            <a:off x="12381" y="6064"/>
            <a:ext cx="2540" cy="183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6534150</xdr:colOff>
      <xdr:row>10</xdr:row>
      <xdr:rowOff>25400</xdr:rowOff>
    </xdr:from>
    <xdr:to>
      <xdr:col>1</xdr:col>
      <xdr:colOff>10080148</xdr:colOff>
      <xdr:row>14</xdr:row>
      <xdr:rowOff>110400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11200"/>
                  </a14:imgEffect>
                </a14:imgLayer>
              </a14:imgProps>
            </a:ext>
          </a:extLst>
        </a:blip>
        <a:stretch>
          <a:fillRect/>
        </a:stretch>
      </xdr:blipFill>
      <xdr:spPr>
        <a:xfrm>
          <a:off x="7334250" y="6419850"/>
          <a:ext cx="3545998" cy="72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19050</xdr:colOff>
          <xdr:row>2</xdr:row>
          <xdr:rowOff>0</xdr:rowOff>
        </xdr:from>
        <xdr:to>
          <xdr:col>9</xdr:col>
          <xdr:colOff>9525</xdr:colOff>
          <xdr:row>5</xdr:row>
          <xdr:rowOff>0</xdr:rowOff>
        </xdr:to>
        <xdr:sp macro="" textlink="">
          <xdr:nvSpPr>
            <xdr:cNvPr id="18433" name="Group Box 1" hidden="1">
              <a:extLst>
                <a:ext uri="{63B3BB69-23CF-44E3-9099-C40C66FF867C}">
                  <a14:compatExt spid="_x0000_s18433"/>
                </a:ext>
                <a:ext uri="{FF2B5EF4-FFF2-40B4-BE49-F238E27FC236}">
                  <a16:creationId xmlns:a16="http://schemas.microsoft.com/office/drawing/2014/main" id="{00000000-0008-0000-0900-00000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xdr:row>
          <xdr:rowOff>38100</xdr:rowOff>
        </xdr:from>
        <xdr:to>
          <xdr:col>7</xdr:col>
          <xdr:colOff>200025</xdr:colOff>
          <xdr:row>3</xdr:row>
          <xdr:rowOff>19050</xdr:rowOff>
        </xdr:to>
        <xdr:sp macro="" textlink="">
          <xdr:nvSpPr>
            <xdr:cNvPr id="18434" name="Option Button 2" hidden="1">
              <a:extLst>
                <a:ext uri="{63B3BB69-23CF-44E3-9099-C40C66FF867C}">
                  <a14:compatExt spid="_x0000_s18434"/>
                </a:ext>
                <a:ext uri="{FF2B5EF4-FFF2-40B4-BE49-F238E27FC236}">
                  <a16:creationId xmlns:a16="http://schemas.microsoft.com/office/drawing/2014/main" id="{00000000-0008-0000-09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xdr:row>
          <xdr:rowOff>180975</xdr:rowOff>
        </xdr:from>
        <xdr:to>
          <xdr:col>7</xdr:col>
          <xdr:colOff>142875</xdr:colOff>
          <xdr:row>4</xdr:row>
          <xdr:rowOff>171450</xdr:rowOff>
        </xdr:to>
        <xdr:sp macro="" textlink="">
          <xdr:nvSpPr>
            <xdr:cNvPr id="18435" name="Option Button 3" hidden="1">
              <a:extLst>
                <a:ext uri="{63B3BB69-23CF-44E3-9099-C40C66FF867C}">
                  <a14:compatExt spid="_x0000_s18435"/>
                </a:ext>
                <a:ext uri="{FF2B5EF4-FFF2-40B4-BE49-F238E27FC236}">
                  <a16:creationId xmlns:a16="http://schemas.microsoft.com/office/drawing/2014/main" id="{00000000-0008-0000-09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5</xdr:col>
          <xdr:colOff>9525</xdr:colOff>
          <xdr:row>5</xdr:row>
          <xdr:rowOff>0</xdr:rowOff>
        </xdr:to>
        <xdr:sp macro="" textlink="">
          <xdr:nvSpPr>
            <xdr:cNvPr id="18436" name="Group Box 4" hidden="1">
              <a:extLst>
                <a:ext uri="{63B3BB69-23CF-44E3-9099-C40C66FF867C}">
                  <a14:compatExt spid="_x0000_s18436"/>
                </a:ext>
                <a:ext uri="{FF2B5EF4-FFF2-40B4-BE49-F238E27FC236}">
                  <a16:creationId xmlns:a16="http://schemas.microsoft.com/office/drawing/2014/main" id="{00000000-0008-0000-0900-000004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xdr:row>
          <xdr:rowOff>19050</xdr:rowOff>
        </xdr:from>
        <xdr:to>
          <xdr:col>3</xdr:col>
          <xdr:colOff>19050</xdr:colOff>
          <xdr:row>4</xdr:row>
          <xdr:rowOff>9525</xdr:rowOff>
        </xdr:to>
        <xdr:sp macro="" textlink="">
          <xdr:nvSpPr>
            <xdr:cNvPr id="18437" name="Option Button 5" hidden="1">
              <a:extLst>
                <a:ext uri="{63B3BB69-23CF-44E3-9099-C40C66FF867C}">
                  <a14:compatExt spid="_x0000_s18437"/>
                </a:ext>
                <a:ext uri="{FF2B5EF4-FFF2-40B4-BE49-F238E27FC236}">
                  <a16:creationId xmlns:a16="http://schemas.microsoft.com/office/drawing/2014/main" id="{00000000-0008-0000-09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xdr:row>
          <xdr:rowOff>219075</xdr:rowOff>
        </xdr:from>
        <xdr:to>
          <xdr:col>3</xdr:col>
          <xdr:colOff>19050</xdr:colOff>
          <xdr:row>4</xdr:row>
          <xdr:rowOff>219075</xdr:rowOff>
        </xdr:to>
        <xdr:sp macro="" textlink="">
          <xdr:nvSpPr>
            <xdr:cNvPr id="18438" name="Option Button 6" hidden="1">
              <a:extLst>
                <a:ext uri="{63B3BB69-23CF-44E3-9099-C40C66FF867C}">
                  <a14:compatExt spid="_x0000_s18438"/>
                </a:ext>
                <a:ext uri="{FF2B5EF4-FFF2-40B4-BE49-F238E27FC236}">
                  <a16:creationId xmlns:a16="http://schemas.microsoft.com/office/drawing/2014/main" id="{00000000-0008-0000-09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xdr:row>
          <xdr:rowOff>152400</xdr:rowOff>
        </xdr:from>
        <xdr:to>
          <xdr:col>13</xdr:col>
          <xdr:colOff>590550</xdr:colOff>
          <xdr:row>5</xdr:row>
          <xdr:rowOff>19050</xdr:rowOff>
        </xdr:to>
        <xdr:sp macro="" textlink="">
          <xdr:nvSpPr>
            <xdr:cNvPr id="18439" name="Group Box 7" hidden="1">
              <a:extLst>
                <a:ext uri="{63B3BB69-23CF-44E3-9099-C40C66FF867C}">
                  <a14:compatExt spid="_x0000_s18439"/>
                </a:ext>
                <a:ext uri="{FF2B5EF4-FFF2-40B4-BE49-F238E27FC236}">
                  <a16:creationId xmlns:a16="http://schemas.microsoft.com/office/drawing/2014/main" id="{00000000-0008-0000-0900-00000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xdr:row>
          <xdr:rowOff>19050</xdr:rowOff>
        </xdr:from>
        <xdr:to>
          <xdr:col>10</xdr:col>
          <xdr:colOff>523875</xdr:colOff>
          <xdr:row>3</xdr:row>
          <xdr:rowOff>0</xdr:rowOff>
        </xdr:to>
        <xdr:sp macro="" textlink="">
          <xdr:nvSpPr>
            <xdr:cNvPr id="18440" name="Option Button 8" hidden="1">
              <a:extLst>
                <a:ext uri="{63B3BB69-23CF-44E3-9099-C40C66FF867C}">
                  <a14:compatExt spid="_x0000_s18440"/>
                </a:ext>
                <a:ext uri="{FF2B5EF4-FFF2-40B4-BE49-F238E27FC236}">
                  <a16:creationId xmlns:a16="http://schemas.microsoft.com/office/drawing/2014/main" id="{00000000-0008-0000-09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xdr:row>
          <xdr:rowOff>9525</xdr:rowOff>
        </xdr:from>
        <xdr:to>
          <xdr:col>10</xdr:col>
          <xdr:colOff>523875</xdr:colOff>
          <xdr:row>3</xdr:row>
          <xdr:rowOff>228600</xdr:rowOff>
        </xdr:to>
        <xdr:sp macro="" textlink="">
          <xdr:nvSpPr>
            <xdr:cNvPr id="18441" name="Option Button 9" hidden="1">
              <a:extLst>
                <a:ext uri="{63B3BB69-23CF-44E3-9099-C40C66FF867C}">
                  <a14:compatExt spid="_x0000_s18441"/>
                </a:ext>
                <a:ext uri="{FF2B5EF4-FFF2-40B4-BE49-F238E27FC236}">
                  <a16:creationId xmlns:a16="http://schemas.microsoft.com/office/drawing/2014/main" id="{00000000-0008-0000-09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228600</xdr:rowOff>
        </xdr:from>
        <xdr:to>
          <xdr:col>5</xdr:col>
          <xdr:colOff>762000</xdr:colOff>
          <xdr:row>10</xdr:row>
          <xdr:rowOff>9525</xdr:rowOff>
        </xdr:to>
        <xdr:sp macro="" textlink="">
          <xdr:nvSpPr>
            <xdr:cNvPr id="18446" name="Drop Down 14" hidden="1">
              <a:extLst>
                <a:ext uri="{63B3BB69-23CF-44E3-9099-C40C66FF867C}">
                  <a14:compatExt spid="_x0000_s18446"/>
                </a:ext>
                <a:ext uri="{FF2B5EF4-FFF2-40B4-BE49-F238E27FC236}">
                  <a16:creationId xmlns:a16="http://schemas.microsoft.com/office/drawing/2014/main" id="{00000000-0008-0000-0900-00000E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xdr:row>
          <xdr:rowOff>9525</xdr:rowOff>
        </xdr:from>
        <xdr:to>
          <xdr:col>5</xdr:col>
          <xdr:colOff>762000</xdr:colOff>
          <xdr:row>11</xdr:row>
          <xdr:rowOff>9525</xdr:rowOff>
        </xdr:to>
        <xdr:sp macro="" textlink="">
          <xdr:nvSpPr>
            <xdr:cNvPr id="18447" name="Drop Down 15" hidden="1">
              <a:extLst>
                <a:ext uri="{63B3BB69-23CF-44E3-9099-C40C66FF867C}">
                  <a14:compatExt spid="_x0000_s18447"/>
                </a:ext>
                <a:ext uri="{FF2B5EF4-FFF2-40B4-BE49-F238E27FC236}">
                  <a16:creationId xmlns:a16="http://schemas.microsoft.com/office/drawing/2014/main" id="{00000000-0008-0000-0900-00000F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19050</xdr:rowOff>
        </xdr:from>
        <xdr:to>
          <xdr:col>5</xdr:col>
          <xdr:colOff>762000</xdr:colOff>
          <xdr:row>11</xdr:row>
          <xdr:rowOff>257175</xdr:rowOff>
        </xdr:to>
        <xdr:sp macro="" textlink="">
          <xdr:nvSpPr>
            <xdr:cNvPr id="18448" name="Drop Down 16" hidden="1">
              <a:extLst>
                <a:ext uri="{63B3BB69-23CF-44E3-9099-C40C66FF867C}">
                  <a14:compatExt spid="_x0000_s18448"/>
                </a:ext>
                <a:ext uri="{FF2B5EF4-FFF2-40B4-BE49-F238E27FC236}">
                  <a16:creationId xmlns:a16="http://schemas.microsoft.com/office/drawing/2014/main" id="{00000000-0008-0000-0900-000010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5</xdr:col>
          <xdr:colOff>762000</xdr:colOff>
          <xdr:row>13</xdr:row>
          <xdr:rowOff>257175</xdr:rowOff>
        </xdr:to>
        <xdr:sp macro="" textlink="">
          <xdr:nvSpPr>
            <xdr:cNvPr id="18450" name="Drop Down 18" hidden="1">
              <a:extLst>
                <a:ext uri="{63B3BB69-23CF-44E3-9099-C40C66FF867C}">
                  <a14:compatExt spid="_x0000_s18450"/>
                </a:ext>
                <a:ext uri="{FF2B5EF4-FFF2-40B4-BE49-F238E27FC236}">
                  <a16:creationId xmlns:a16="http://schemas.microsoft.com/office/drawing/2014/main" id="{00000000-0008-0000-0900-000012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12</xdr:row>
          <xdr:rowOff>0</xdr:rowOff>
        </xdr:from>
        <xdr:to>
          <xdr:col>5</xdr:col>
          <xdr:colOff>762000</xdr:colOff>
          <xdr:row>12</xdr:row>
          <xdr:rowOff>257175</xdr:rowOff>
        </xdr:to>
        <xdr:sp macro="" textlink="">
          <xdr:nvSpPr>
            <xdr:cNvPr id="18451" name="Drop Down 19" hidden="1">
              <a:extLst>
                <a:ext uri="{63B3BB69-23CF-44E3-9099-C40C66FF867C}">
                  <a14:compatExt spid="_x0000_s18451"/>
                </a:ext>
                <a:ext uri="{FF2B5EF4-FFF2-40B4-BE49-F238E27FC236}">
                  <a16:creationId xmlns:a16="http://schemas.microsoft.com/office/drawing/2014/main" id="{00000000-0008-0000-0900-000013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28575</xdr:rowOff>
        </xdr:from>
        <xdr:to>
          <xdr:col>5</xdr:col>
          <xdr:colOff>790575</xdr:colOff>
          <xdr:row>20</xdr:row>
          <xdr:rowOff>0</xdr:rowOff>
        </xdr:to>
        <xdr:sp macro="" textlink="">
          <xdr:nvSpPr>
            <xdr:cNvPr id="18459" name="Drop Down 27" hidden="1">
              <a:extLst>
                <a:ext uri="{63B3BB69-23CF-44E3-9099-C40C66FF867C}">
                  <a14:compatExt spid="_x0000_s18459"/>
                </a:ext>
                <a:ext uri="{FF2B5EF4-FFF2-40B4-BE49-F238E27FC236}">
                  <a16:creationId xmlns:a16="http://schemas.microsoft.com/office/drawing/2014/main" id="{00000000-0008-0000-0900-00001B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28575</xdr:rowOff>
        </xdr:from>
        <xdr:to>
          <xdr:col>5</xdr:col>
          <xdr:colOff>800100</xdr:colOff>
          <xdr:row>19</xdr:row>
          <xdr:rowOff>19050</xdr:rowOff>
        </xdr:to>
        <xdr:sp macro="" textlink="">
          <xdr:nvSpPr>
            <xdr:cNvPr id="18460" name="Drop Down 28" hidden="1">
              <a:extLst>
                <a:ext uri="{63B3BB69-23CF-44E3-9099-C40C66FF867C}">
                  <a14:compatExt spid="_x0000_s18460"/>
                </a:ext>
                <a:ext uri="{FF2B5EF4-FFF2-40B4-BE49-F238E27FC236}">
                  <a16:creationId xmlns:a16="http://schemas.microsoft.com/office/drawing/2014/main" id="{00000000-0008-0000-0900-00001C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800100</xdr:colOff>
          <xdr:row>18</xdr:row>
          <xdr:rowOff>28575</xdr:rowOff>
        </xdr:to>
        <xdr:sp macro="" textlink="">
          <xdr:nvSpPr>
            <xdr:cNvPr id="18461" name="Drop Down 29" hidden="1">
              <a:extLst>
                <a:ext uri="{63B3BB69-23CF-44E3-9099-C40C66FF867C}">
                  <a14:compatExt spid="_x0000_s18461"/>
                </a:ext>
                <a:ext uri="{FF2B5EF4-FFF2-40B4-BE49-F238E27FC236}">
                  <a16:creationId xmlns:a16="http://schemas.microsoft.com/office/drawing/2014/main" id="{00000000-0008-0000-0900-00001D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20</xdr:col>
          <xdr:colOff>409575</xdr:colOff>
          <xdr:row>4</xdr:row>
          <xdr:rowOff>19050</xdr:rowOff>
        </xdr:from>
        <xdr:to>
          <xdr:col>21</xdr:col>
          <xdr:colOff>0</xdr:colOff>
          <xdr:row>5</xdr:row>
          <xdr:rowOff>9525</xdr:rowOff>
        </xdr:to>
        <xdr:sp macro="" textlink="">
          <xdr:nvSpPr>
            <xdr:cNvPr id="18462" name="Spinner 30" hidden="1">
              <a:extLst>
                <a:ext uri="{63B3BB69-23CF-44E3-9099-C40C66FF867C}">
                  <a14:compatExt spid="_x0000_s18462"/>
                </a:ext>
                <a:ext uri="{FF2B5EF4-FFF2-40B4-BE49-F238E27FC236}">
                  <a16:creationId xmlns:a16="http://schemas.microsoft.com/office/drawing/2014/main" id="{00000000-0008-0000-0900-00001E48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xdr:row>
          <xdr:rowOff>19050</xdr:rowOff>
        </xdr:from>
        <xdr:to>
          <xdr:col>10</xdr:col>
          <xdr:colOff>523875</xdr:colOff>
          <xdr:row>5</xdr:row>
          <xdr:rowOff>0</xdr:rowOff>
        </xdr:to>
        <xdr:sp macro="" textlink="">
          <xdr:nvSpPr>
            <xdr:cNvPr id="18463" name="Option Button 31" hidden="1">
              <a:extLst>
                <a:ext uri="{63B3BB69-23CF-44E3-9099-C40C66FF867C}">
                  <a14:compatExt spid="_x0000_s18463"/>
                </a:ext>
                <a:ext uri="{FF2B5EF4-FFF2-40B4-BE49-F238E27FC236}">
                  <a16:creationId xmlns:a16="http://schemas.microsoft.com/office/drawing/2014/main" id="{00000000-0008-0000-09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64</xdr:col>
      <xdr:colOff>90486</xdr:colOff>
      <xdr:row>5</xdr:row>
      <xdr:rowOff>24342</xdr:rowOff>
    </xdr:from>
    <xdr:to>
      <xdr:col>79</xdr:col>
      <xdr:colOff>555095</xdr:colOff>
      <xdr:row>16</xdr:row>
      <xdr:rowOff>220134</xdr:rowOff>
    </xdr:to>
    <xdr:graphicFrame macro="">
      <xdr:nvGraphicFramePr>
        <xdr:cNvPr id="6" name="Diagramm 5">
          <a:extLst>
            <a:ext uri="{FF2B5EF4-FFF2-40B4-BE49-F238E27FC236}">
              <a16:creationId xmlns:a16="http://schemas.microsoft.com/office/drawing/2014/main" id="{00000000-0008-0000-0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64</xdr:col>
      <xdr:colOff>21166</xdr:colOff>
      <xdr:row>16</xdr:row>
      <xdr:rowOff>201084</xdr:rowOff>
    </xdr:from>
    <xdr:to>
      <xdr:col>79</xdr:col>
      <xdr:colOff>538692</xdr:colOff>
      <xdr:row>29</xdr:row>
      <xdr:rowOff>0</xdr:rowOff>
    </xdr:to>
    <xdr:graphicFrame macro="">
      <xdr:nvGraphicFramePr>
        <xdr:cNvPr id="11" name="Diagramm 10">
          <a:extLst>
            <a:ext uri="{FF2B5EF4-FFF2-40B4-BE49-F238E27FC236}">
              <a16:creationId xmlns:a16="http://schemas.microsoft.com/office/drawing/2014/main" id="{00000000-0008-0000-09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64</xdr:col>
      <xdr:colOff>204787</xdr:colOff>
      <xdr:row>29</xdr:row>
      <xdr:rowOff>0</xdr:rowOff>
    </xdr:from>
    <xdr:to>
      <xdr:col>79</xdr:col>
      <xdr:colOff>693208</xdr:colOff>
      <xdr:row>29</xdr:row>
      <xdr:rowOff>0</xdr:rowOff>
    </xdr:to>
    <xdr:graphicFrame macro="">
      <xdr:nvGraphicFramePr>
        <xdr:cNvPr id="12" name="Diagramm 11">
          <a:extLst>
            <a:ext uri="{FF2B5EF4-FFF2-40B4-BE49-F238E27FC236}">
              <a16:creationId xmlns:a16="http://schemas.microsoft.com/office/drawing/2014/main" id="{00000000-0008-0000-09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20</xdr:col>
          <xdr:colOff>409575</xdr:colOff>
          <xdr:row>3</xdr:row>
          <xdr:rowOff>0</xdr:rowOff>
        </xdr:from>
        <xdr:to>
          <xdr:col>21</xdr:col>
          <xdr:colOff>9525</xdr:colOff>
          <xdr:row>4</xdr:row>
          <xdr:rowOff>19050</xdr:rowOff>
        </xdr:to>
        <xdr:sp macro="" textlink="">
          <xdr:nvSpPr>
            <xdr:cNvPr id="18464" name="Spinner 32" hidden="1">
              <a:extLst>
                <a:ext uri="{63B3BB69-23CF-44E3-9099-C40C66FF867C}">
                  <a14:compatExt spid="_x0000_s18464"/>
                </a:ext>
                <a:ext uri="{FF2B5EF4-FFF2-40B4-BE49-F238E27FC236}">
                  <a16:creationId xmlns:a16="http://schemas.microsoft.com/office/drawing/2014/main" id="{00000000-0008-0000-0900-00002048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twoCellAnchor>
    <xdr:from>
      <xdr:col>60</xdr:col>
      <xdr:colOff>137584</xdr:colOff>
      <xdr:row>29</xdr:row>
      <xdr:rowOff>0</xdr:rowOff>
    </xdr:from>
    <xdr:to>
      <xdr:col>80</xdr:col>
      <xdr:colOff>1590</xdr:colOff>
      <xdr:row>31</xdr:row>
      <xdr:rowOff>63500</xdr:rowOff>
    </xdr:to>
    <xdr:graphicFrame macro="">
      <xdr:nvGraphicFramePr>
        <xdr:cNvPr id="27" name="Diagramm 26">
          <a:extLst>
            <a:ext uri="{FF2B5EF4-FFF2-40B4-BE49-F238E27FC236}">
              <a16:creationId xmlns:a16="http://schemas.microsoft.com/office/drawing/2014/main" id="{00000000-0008-0000-09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60</xdr:col>
      <xdr:colOff>169333</xdr:colOff>
      <xdr:row>29</xdr:row>
      <xdr:rowOff>0</xdr:rowOff>
    </xdr:from>
    <xdr:to>
      <xdr:col>80</xdr:col>
      <xdr:colOff>594255</xdr:colOff>
      <xdr:row>33</xdr:row>
      <xdr:rowOff>116415</xdr:rowOff>
    </xdr:to>
    <xdr:graphicFrame macro="">
      <xdr:nvGraphicFramePr>
        <xdr:cNvPr id="28" name="Diagramm 27">
          <a:extLst>
            <a:ext uri="{FF2B5EF4-FFF2-40B4-BE49-F238E27FC236}">
              <a16:creationId xmlns:a16="http://schemas.microsoft.com/office/drawing/2014/main" id="{00000000-0008-0000-09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57</xdr:col>
      <xdr:colOff>254000</xdr:colOff>
      <xdr:row>30</xdr:row>
      <xdr:rowOff>0</xdr:rowOff>
    </xdr:from>
    <xdr:to>
      <xdr:col>78</xdr:col>
      <xdr:colOff>328616</xdr:colOff>
      <xdr:row>44</xdr:row>
      <xdr:rowOff>92075</xdr:rowOff>
    </xdr:to>
    <xdr:graphicFrame macro="">
      <xdr:nvGraphicFramePr>
        <xdr:cNvPr id="30" name="Diagramm 29">
          <a:extLst>
            <a:ext uri="{FF2B5EF4-FFF2-40B4-BE49-F238E27FC236}">
              <a16:creationId xmlns:a16="http://schemas.microsoft.com/office/drawing/2014/main" id="{00000000-0008-0000-09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53</xdr:col>
      <xdr:colOff>47624</xdr:colOff>
      <xdr:row>45</xdr:row>
      <xdr:rowOff>14817</xdr:rowOff>
    </xdr:from>
    <xdr:to>
      <xdr:col>71</xdr:col>
      <xdr:colOff>232834</xdr:colOff>
      <xdr:row>59</xdr:row>
      <xdr:rowOff>0</xdr:rowOff>
    </xdr:to>
    <xdr:graphicFrame macro="">
      <xdr:nvGraphicFramePr>
        <xdr:cNvPr id="8" name="Diagramm 7">
          <a:extLst>
            <a:ext uri="{FF2B5EF4-FFF2-40B4-BE49-F238E27FC236}">
              <a16:creationId xmlns:a16="http://schemas.microsoft.com/office/drawing/2014/main" id="{00000000-0008-0000-0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53</xdr:col>
      <xdr:colOff>0</xdr:colOff>
      <xdr:row>59</xdr:row>
      <xdr:rowOff>84668</xdr:rowOff>
    </xdr:from>
    <xdr:to>
      <xdr:col>71</xdr:col>
      <xdr:colOff>185210</xdr:colOff>
      <xdr:row>73</xdr:row>
      <xdr:rowOff>69851</xdr:rowOff>
    </xdr:to>
    <xdr:graphicFrame macro="">
      <xdr:nvGraphicFramePr>
        <xdr:cNvPr id="36" name="Diagramm 35">
          <a:extLst>
            <a:ext uri="{FF2B5EF4-FFF2-40B4-BE49-F238E27FC236}">
              <a16:creationId xmlns:a16="http://schemas.microsoft.com/office/drawing/2014/main" id="{00000000-0008-0000-09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53</xdr:col>
      <xdr:colOff>0</xdr:colOff>
      <xdr:row>75</xdr:row>
      <xdr:rowOff>0</xdr:rowOff>
    </xdr:from>
    <xdr:to>
      <xdr:col>71</xdr:col>
      <xdr:colOff>185210</xdr:colOff>
      <xdr:row>88</xdr:row>
      <xdr:rowOff>133350</xdr:rowOff>
    </xdr:to>
    <xdr:graphicFrame macro="">
      <xdr:nvGraphicFramePr>
        <xdr:cNvPr id="37" name="Diagramm 36">
          <a:extLst>
            <a:ext uri="{FF2B5EF4-FFF2-40B4-BE49-F238E27FC236}">
              <a16:creationId xmlns:a16="http://schemas.microsoft.com/office/drawing/2014/main" id="{00000000-0008-0000-09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53</xdr:col>
      <xdr:colOff>0</xdr:colOff>
      <xdr:row>89</xdr:row>
      <xdr:rowOff>0</xdr:rowOff>
    </xdr:from>
    <xdr:to>
      <xdr:col>71</xdr:col>
      <xdr:colOff>185210</xdr:colOff>
      <xdr:row>102</xdr:row>
      <xdr:rowOff>143933</xdr:rowOff>
    </xdr:to>
    <xdr:graphicFrame macro="">
      <xdr:nvGraphicFramePr>
        <xdr:cNvPr id="38" name="Diagramm 37">
          <a:extLst>
            <a:ext uri="{FF2B5EF4-FFF2-40B4-BE49-F238E27FC236}">
              <a16:creationId xmlns:a16="http://schemas.microsoft.com/office/drawing/2014/main" id="{00000000-0008-0000-09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29</xdr:col>
      <xdr:colOff>562391</xdr:colOff>
      <xdr:row>0</xdr:row>
      <xdr:rowOff>42333</xdr:rowOff>
    </xdr:from>
    <xdr:to>
      <xdr:col>34</xdr:col>
      <xdr:colOff>0</xdr:colOff>
      <xdr:row>2</xdr:row>
      <xdr:rowOff>42500</xdr:rowOff>
    </xdr:to>
    <xdr:pic>
      <xdr:nvPicPr>
        <xdr:cNvPr id="2" name="Grafik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1">
          <a:extLst>
            <a:ext uri="{BEBA8EAE-BF5A-486C-A8C5-ECC9F3942E4B}">
              <a14:imgProps xmlns:a14="http://schemas.microsoft.com/office/drawing/2010/main">
                <a14:imgLayer r:embed="rId12">
                  <a14:imgEffect>
                    <a14:colorTemperature colorTemp="11200"/>
                  </a14:imgEffect>
                </a14:imgLayer>
              </a14:imgProps>
            </a:ext>
          </a:extLst>
        </a:blip>
        <a:stretch>
          <a:fillRect/>
        </a:stretch>
      </xdr:blipFill>
      <xdr:spPr>
        <a:xfrm>
          <a:off x="18053113" y="42333"/>
          <a:ext cx="1772998" cy="36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838200</xdr:colOff>
      <xdr:row>0</xdr:row>
      <xdr:rowOff>31750</xdr:rowOff>
    </xdr:from>
    <xdr:to>
      <xdr:col>1</xdr:col>
      <xdr:colOff>1724698</xdr:colOff>
      <xdr:row>1</xdr:row>
      <xdr:rowOff>14900</xdr:rowOff>
    </xdr:to>
    <xdr:pic>
      <xdr:nvPicPr>
        <xdr:cNvPr id="2" name="Grafik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1803400" y="31750"/>
          <a:ext cx="886498" cy="1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1625600</xdr:colOff>
      <xdr:row>0</xdr:row>
      <xdr:rowOff>12700</xdr:rowOff>
    </xdr:from>
    <xdr:to>
      <xdr:col>6</xdr:col>
      <xdr:colOff>763348</xdr:colOff>
      <xdr:row>2</xdr:row>
      <xdr:rowOff>17100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8337550" y="12700"/>
          <a:ext cx="1772998" cy="36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26</xdr:col>
      <xdr:colOff>119302</xdr:colOff>
      <xdr:row>0</xdr:row>
      <xdr:rowOff>38100</xdr:rowOff>
    </xdr:from>
    <xdr:to>
      <xdr:col>29</xdr:col>
      <xdr:colOff>0</xdr:colOff>
      <xdr:row>0</xdr:row>
      <xdr:rowOff>398100</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16026052" y="38100"/>
          <a:ext cx="1772998" cy="36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9525</xdr:rowOff>
        </xdr:from>
        <xdr:to>
          <xdr:col>28</xdr:col>
          <xdr:colOff>9525</xdr:colOff>
          <xdr:row>3</xdr:row>
          <xdr:rowOff>19050</xdr:rowOff>
        </xdr:to>
        <xdr:sp macro="" textlink="">
          <xdr:nvSpPr>
            <xdr:cNvPr id="6145" name="Drop Down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28575</xdr:rowOff>
        </xdr:from>
        <xdr:to>
          <xdr:col>28</xdr:col>
          <xdr:colOff>9525</xdr:colOff>
          <xdr:row>4</xdr:row>
          <xdr:rowOff>19050</xdr:rowOff>
        </xdr:to>
        <xdr:sp macro="" textlink="">
          <xdr:nvSpPr>
            <xdr:cNvPr id="6146" name="Drop Down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28575</xdr:rowOff>
        </xdr:from>
        <xdr:to>
          <xdr:col>28</xdr:col>
          <xdr:colOff>9525</xdr:colOff>
          <xdr:row>6</xdr:row>
          <xdr:rowOff>19050</xdr:rowOff>
        </xdr:to>
        <xdr:sp macro="" textlink="">
          <xdr:nvSpPr>
            <xdr:cNvPr id="6148" name="Drop Down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28575</xdr:rowOff>
        </xdr:from>
        <xdr:to>
          <xdr:col>28</xdr:col>
          <xdr:colOff>9525</xdr:colOff>
          <xdr:row>7</xdr:row>
          <xdr:rowOff>19050</xdr:rowOff>
        </xdr:to>
        <xdr:sp macro="" textlink="">
          <xdr:nvSpPr>
            <xdr:cNvPr id="6149" name="Drop Down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28575</xdr:rowOff>
        </xdr:from>
        <xdr:to>
          <xdr:col>28</xdr:col>
          <xdr:colOff>9525</xdr:colOff>
          <xdr:row>8</xdr:row>
          <xdr:rowOff>19050</xdr:rowOff>
        </xdr:to>
        <xdr:sp macro="" textlink="">
          <xdr:nvSpPr>
            <xdr:cNvPr id="6150" name="Drop Down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28575</xdr:rowOff>
        </xdr:from>
        <xdr:to>
          <xdr:col>28</xdr:col>
          <xdr:colOff>9525</xdr:colOff>
          <xdr:row>9</xdr:row>
          <xdr:rowOff>19050</xdr:rowOff>
        </xdr:to>
        <xdr:sp macro="" textlink="">
          <xdr:nvSpPr>
            <xdr:cNvPr id="6151" name="Drop Down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28575</xdr:rowOff>
        </xdr:from>
        <xdr:to>
          <xdr:col>28</xdr:col>
          <xdr:colOff>9525</xdr:colOff>
          <xdr:row>10</xdr:row>
          <xdr:rowOff>19050</xdr:rowOff>
        </xdr:to>
        <xdr:sp macro="" textlink="">
          <xdr:nvSpPr>
            <xdr:cNvPr id="6152" name="Drop Down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28575</xdr:rowOff>
        </xdr:from>
        <xdr:to>
          <xdr:col>28</xdr:col>
          <xdr:colOff>9525</xdr:colOff>
          <xdr:row>11</xdr:row>
          <xdr:rowOff>19050</xdr:rowOff>
        </xdr:to>
        <xdr:sp macro="" textlink="">
          <xdr:nvSpPr>
            <xdr:cNvPr id="6153" name="Drop Down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28575</xdr:rowOff>
        </xdr:from>
        <xdr:to>
          <xdr:col>28</xdr:col>
          <xdr:colOff>9525</xdr:colOff>
          <xdr:row>12</xdr:row>
          <xdr:rowOff>19050</xdr:rowOff>
        </xdr:to>
        <xdr:sp macro="" textlink="">
          <xdr:nvSpPr>
            <xdr:cNvPr id="6154" name="Drop Down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28575</xdr:rowOff>
        </xdr:from>
        <xdr:to>
          <xdr:col>28</xdr:col>
          <xdr:colOff>9525</xdr:colOff>
          <xdr:row>13</xdr:row>
          <xdr:rowOff>19050</xdr:rowOff>
        </xdr:to>
        <xdr:sp macro="" textlink="">
          <xdr:nvSpPr>
            <xdr:cNvPr id="6155" name="Drop Dow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38100</xdr:rowOff>
        </xdr:from>
        <xdr:to>
          <xdr:col>28</xdr:col>
          <xdr:colOff>9525</xdr:colOff>
          <xdr:row>14</xdr:row>
          <xdr:rowOff>28575</xdr:rowOff>
        </xdr:to>
        <xdr:sp macro="" textlink="">
          <xdr:nvSpPr>
            <xdr:cNvPr id="6156" name="Drop Down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38100</xdr:rowOff>
        </xdr:from>
        <xdr:to>
          <xdr:col>28</xdr:col>
          <xdr:colOff>9525</xdr:colOff>
          <xdr:row>15</xdr:row>
          <xdr:rowOff>28575</xdr:rowOff>
        </xdr:to>
        <xdr:sp macro="" textlink="">
          <xdr:nvSpPr>
            <xdr:cNvPr id="6158" name="Drop Down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38100</xdr:rowOff>
        </xdr:from>
        <xdr:to>
          <xdr:col>28</xdr:col>
          <xdr:colOff>9525</xdr:colOff>
          <xdr:row>16</xdr:row>
          <xdr:rowOff>28575</xdr:rowOff>
        </xdr:to>
        <xdr:sp macro="" textlink="">
          <xdr:nvSpPr>
            <xdr:cNvPr id="6160" name="Drop Down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38100</xdr:rowOff>
        </xdr:from>
        <xdr:to>
          <xdr:col>28</xdr:col>
          <xdr:colOff>9525</xdr:colOff>
          <xdr:row>17</xdr:row>
          <xdr:rowOff>28575</xdr:rowOff>
        </xdr:to>
        <xdr:sp macro="" textlink="">
          <xdr:nvSpPr>
            <xdr:cNvPr id="6162" name="Drop Down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38100</xdr:rowOff>
        </xdr:from>
        <xdr:to>
          <xdr:col>28</xdr:col>
          <xdr:colOff>9525</xdr:colOff>
          <xdr:row>18</xdr:row>
          <xdr:rowOff>28575</xdr:rowOff>
        </xdr:to>
        <xdr:sp macro="" textlink="">
          <xdr:nvSpPr>
            <xdr:cNvPr id="6164" name="Drop Down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38100</xdr:rowOff>
        </xdr:from>
        <xdr:to>
          <xdr:col>28</xdr:col>
          <xdr:colOff>9525</xdr:colOff>
          <xdr:row>19</xdr:row>
          <xdr:rowOff>28575</xdr:rowOff>
        </xdr:to>
        <xdr:sp macro="" textlink="">
          <xdr:nvSpPr>
            <xdr:cNvPr id="6166" name="Drop Down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38100</xdr:rowOff>
        </xdr:from>
        <xdr:to>
          <xdr:col>28</xdr:col>
          <xdr:colOff>9525</xdr:colOff>
          <xdr:row>20</xdr:row>
          <xdr:rowOff>28575</xdr:rowOff>
        </xdr:to>
        <xdr:sp macro="" textlink="">
          <xdr:nvSpPr>
            <xdr:cNvPr id="6167" name="Drop Down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28575</xdr:rowOff>
        </xdr:from>
        <xdr:to>
          <xdr:col>28</xdr:col>
          <xdr:colOff>9525</xdr:colOff>
          <xdr:row>5</xdr:row>
          <xdr:rowOff>19050</xdr:rowOff>
        </xdr:to>
        <xdr:sp macro="" textlink="">
          <xdr:nvSpPr>
            <xdr:cNvPr id="6168" name="Drop Down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xdr:twoCellAnchor editAs="oneCell">
    <xdr:from>
      <xdr:col>36</xdr:col>
      <xdr:colOff>614102</xdr:colOff>
      <xdr:row>0</xdr:row>
      <xdr:rowOff>0</xdr:rowOff>
    </xdr:from>
    <xdr:to>
      <xdr:col>37</xdr:col>
      <xdr:colOff>103600</xdr:colOff>
      <xdr:row>0</xdr:row>
      <xdr:rowOff>180000</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14546002" y="0"/>
          <a:ext cx="886498" cy="18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9</xdr:row>
          <xdr:rowOff>19050</xdr:rowOff>
        </xdr:from>
        <xdr:to>
          <xdr:col>5</xdr:col>
          <xdr:colOff>85725</xdr:colOff>
          <xdr:row>10</xdr:row>
          <xdr:rowOff>9525</xdr:rowOff>
        </xdr:to>
        <xdr:sp macro="" textlink="">
          <xdr:nvSpPr>
            <xdr:cNvPr id="1231" name="Option Button 207" hidden="1">
              <a:extLst>
                <a:ext uri="{63B3BB69-23CF-44E3-9099-C40C66FF867C}">
                  <a14:compatExt spid="_x0000_s1231"/>
                </a:ext>
                <a:ext uri="{FF2B5EF4-FFF2-40B4-BE49-F238E27FC236}">
                  <a16:creationId xmlns:a16="http://schemas.microsoft.com/office/drawing/2014/main" id="{00000000-0008-0000-04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10</xdr:col>
      <xdr:colOff>411480</xdr:colOff>
      <xdr:row>11</xdr:row>
      <xdr:rowOff>7620</xdr:rowOff>
    </xdr:from>
    <xdr:to>
      <xdr:col>10</xdr:col>
      <xdr:colOff>411480</xdr:colOff>
      <xdr:row>12</xdr:row>
      <xdr:rowOff>175260</xdr:rowOff>
    </xdr:to>
    <xdr:sp macro="" textlink="">
      <xdr:nvSpPr>
        <xdr:cNvPr id="1208" name="Line 1">
          <a:extLst>
            <a:ext uri="{FF2B5EF4-FFF2-40B4-BE49-F238E27FC236}">
              <a16:creationId xmlns:a16="http://schemas.microsoft.com/office/drawing/2014/main" id="{00000000-0008-0000-0400-0000B8040000}"/>
            </a:ext>
          </a:extLst>
        </xdr:cNvPr>
        <xdr:cNvSpPr>
          <a:spLocks noChangeShapeType="1"/>
        </xdr:cNvSpPr>
      </xdr:nvSpPr>
      <xdr:spPr bwMode="auto">
        <a:xfrm flipH="1">
          <a:off x="5897880" y="3482340"/>
          <a:ext cx="0" cy="43434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434340</xdr:colOff>
      <xdr:row>13</xdr:row>
      <xdr:rowOff>175260</xdr:rowOff>
    </xdr:from>
    <xdr:to>
      <xdr:col>22</xdr:col>
      <xdr:colOff>655320</xdr:colOff>
      <xdr:row>13</xdr:row>
      <xdr:rowOff>190500</xdr:rowOff>
    </xdr:to>
    <xdr:sp macro="" textlink="">
      <xdr:nvSpPr>
        <xdr:cNvPr id="1209" name="Line 2">
          <a:extLst>
            <a:ext uri="{FF2B5EF4-FFF2-40B4-BE49-F238E27FC236}">
              <a16:creationId xmlns:a16="http://schemas.microsoft.com/office/drawing/2014/main" id="{00000000-0008-0000-0400-0000B9040000}"/>
            </a:ext>
          </a:extLst>
        </xdr:cNvPr>
        <xdr:cNvSpPr>
          <a:spLocks noChangeShapeType="1"/>
        </xdr:cNvSpPr>
      </xdr:nvSpPr>
      <xdr:spPr bwMode="auto">
        <a:xfrm>
          <a:off x="5173980" y="4229100"/>
          <a:ext cx="5433060" cy="15240"/>
        </a:xfrm>
        <a:prstGeom prst="line">
          <a:avLst/>
        </a:prstGeom>
        <a:noFill/>
        <a:ln w="1714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434340</xdr:colOff>
      <xdr:row>11</xdr:row>
      <xdr:rowOff>0</xdr:rowOff>
    </xdr:from>
    <xdr:to>
      <xdr:col>9</xdr:col>
      <xdr:colOff>434340</xdr:colOff>
      <xdr:row>13</xdr:row>
      <xdr:rowOff>160020</xdr:rowOff>
    </xdr:to>
    <xdr:sp macro="" textlink="">
      <xdr:nvSpPr>
        <xdr:cNvPr id="1210" name="Line 3">
          <a:extLst>
            <a:ext uri="{FF2B5EF4-FFF2-40B4-BE49-F238E27FC236}">
              <a16:creationId xmlns:a16="http://schemas.microsoft.com/office/drawing/2014/main" id="{00000000-0008-0000-0400-0000BA040000}"/>
            </a:ext>
          </a:extLst>
        </xdr:cNvPr>
        <xdr:cNvSpPr>
          <a:spLocks noChangeShapeType="1"/>
        </xdr:cNvSpPr>
      </xdr:nvSpPr>
      <xdr:spPr bwMode="auto">
        <a:xfrm>
          <a:off x="5173980" y="3474720"/>
          <a:ext cx="0" cy="73914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411480</xdr:colOff>
      <xdr:row>12</xdr:row>
      <xdr:rowOff>175260</xdr:rowOff>
    </xdr:from>
    <xdr:to>
      <xdr:col>22</xdr:col>
      <xdr:colOff>662940</xdr:colOff>
      <xdr:row>12</xdr:row>
      <xdr:rowOff>182880</xdr:rowOff>
    </xdr:to>
    <xdr:sp macro="" textlink="">
      <xdr:nvSpPr>
        <xdr:cNvPr id="1211" name="Line 4">
          <a:extLst>
            <a:ext uri="{FF2B5EF4-FFF2-40B4-BE49-F238E27FC236}">
              <a16:creationId xmlns:a16="http://schemas.microsoft.com/office/drawing/2014/main" id="{00000000-0008-0000-0400-0000BB040000}"/>
            </a:ext>
          </a:extLst>
        </xdr:cNvPr>
        <xdr:cNvSpPr>
          <a:spLocks noChangeShapeType="1"/>
        </xdr:cNvSpPr>
      </xdr:nvSpPr>
      <xdr:spPr bwMode="auto">
        <a:xfrm>
          <a:off x="5897880" y="3916680"/>
          <a:ext cx="4716780" cy="7620"/>
        </a:xfrm>
        <a:prstGeom prst="line">
          <a:avLst/>
        </a:prstGeom>
        <a:noFill/>
        <a:ln w="1714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327660</xdr:colOff>
      <xdr:row>11</xdr:row>
      <xdr:rowOff>198120</xdr:rowOff>
    </xdr:from>
    <xdr:to>
      <xdr:col>22</xdr:col>
      <xdr:colOff>632460</xdr:colOff>
      <xdr:row>11</xdr:row>
      <xdr:rowOff>220980</xdr:rowOff>
    </xdr:to>
    <xdr:sp macro="" textlink="">
      <xdr:nvSpPr>
        <xdr:cNvPr id="1212" name="Line 5">
          <a:extLst>
            <a:ext uri="{FF2B5EF4-FFF2-40B4-BE49-F238E27FC236}">
              <a16:creationId xmlns:a16="http://schemas.microsoft.com/office/drawing/2014/main" id="{00000000-0008-0000-0400-0000BC040000}"/>
            </a:ext>
          </a:extLst>
        </xdr:cNvPr>
        <xdr:cNvSpPr>
          <a:spLocks noChangeShapeType="1"/>
        </xdr:cNvSpPr>
      </xdr:nvSpPr>
      <xdr:spPr bwMode="auto">
        <a:xfrm>
          <a:off x="6560820" y="3672840"/>
          <a:ext cx="4023360" cy="22860"/>
        </a:xfrm>
        <a:prstGeom prst="line">
          <a:avLst/>
        </a:prstGeom>
        <a:noFill/>
        <a:ln w="1714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403860</xdr:colOff>
      <xdr:row>11</xdr:row>
      <xdr:rowOff>0</xdr:rowOff>
    </xdr:from>
    <xdr:to>
      <xdr:col>12</xdr:col>
      <xdr:colOff>403860</xdr:colOff>
      <xdr:row>11</xdr:row>
      <xdr:rowOff>190500</xdr:rowOff>
    </xdr:to>
    <xdr:sp macro="" textlink="">
      <xdr:nvSpPr>
        <xdr:cNvPr id="1213" name="Line 6">
          <a:extLst>
            <a:ext uri="{FF2B5EF4-FFF2-40B4-BE49-F238E27FC236}">
              <a16:creationId xmlns:a16="http://schemas.microsoft.com/office/drawing/2014/main" id="{00000000-0008-0000-0400-0000BD040000}"/>
            </a:ext>
          </a:extLst>
        </xdr:cNvPr>
        <xdr:cNvSpPr>
          <a:spLocks noChangeShapeType="1"/>
        </xdr:cNvSpPr>
      </xdr:nvSpPr>
      <xdr:spPr bwMode="auto">
        <a:xfrm>
          <a:off x="7353300" y="3474720"/>
          <a:ext cx="0" cy="19050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335280</xdr:colOff>
      <xdr:row>11</xdr:row>
      <xdr:rowOff>0</xdr:rowOff>
    </xdr:from>
    <xdr:to>
      <xdr:col>11</xdr:col>
      <xdr:colOff>335280</xdr:colOff>
      <xdr:row>11</xdr:row>
      <xdr:rowOff>190500</xdr:rowOff>
    </xdr:to>
    <xdr:sp macro="" textlink="">
      <xdr:nvSpPr>
        <xdr:cNvPr id="1214" name="Line 7">
          <a:extLst>
            <a:ext uri="{FF2B5EF4-FFF2-40B4-BE49-F238E27FC236}">
              <a16:creationId xmlns:a16="http://schemas.microsoft.com/office/drawing/2014/main" id="{00000000-0008-0000-0400-0000BE040000}"/>
            </a:ext>
          </a:extLst>
        </xdr:cNvPr>
        <xdr:cNvSpPr>
          <a:spLocks noChangeShapeType="1"/>
        </xdr:cNvSpPr>
      </xdr:nvSpPr>
      <xdr:spPr bwMode="auto">
        <a:xfrm>
          <a:off x="6568440" y="3474720"/>
          <a:ext cx="0" cy="19050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6</xdr:col>
          <xdr:colOff>28575</xdr:colOff>
          <xdr:row>20</xdr:row>
          <xdr:rowOff>0</xdr:rowOff>
        </xdr:to>
        <xdr:sp macro="" textlink="">
          <xdr:nvSpPr>
            <xdr:cNvPr id="1055" name="Drop Down 31" hidden="1">
              <a:extLst>
                <a:ext uri="{63B3BB69-23CF-44E3-9099-C40C66FF867C}">
                  <a14:compatExt spid="_x0000_s1055"/>
                </a:ext>
                <a:ext uri="{FF2B5EF4-FFF2-40B4-BE49-F238E27FC236}">
                  <a16:creationId xmlns:a16="http://schemas.microsoft.com/office/drawing/2014/main" id="{00000000-0008-0000-0400-00001F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6</xdr:col>
          <xdr:colOff>28575</xdr:colOff>
          <xdr:row>21</xdr:row>
          <xdr:rowOff>0</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id="{00000000-0008-0000-0400-000020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9525</xdr:rowOff>
        </xdr:from>
        <xdr:to>
          <xdr:col>6</xdr:col>
          <xdr:colOff>28575</xdr:colOff>
          <xdr:row>22</xdr:row>
          <xdr:rowOff>0</xdr:rowOff>
        </xdr:to>
        <xdr:sp macro="" textlink="">
          <xdr:nvSpPr>
            <xdr:cNvPr id="1057" name="Drop Down 33" hidden="1">
              <a:extLst>
                <a:ext uri="{63B3BB69-23CF-44E3-9099-C40C66FF867C}">
                  <a14:compatExt spid="_x0000_s1057"/>
                </a:ext>
                <a:ext uri="{FF2B5EF4-FFF2-40B4-BE49-F238E27FC236}">
                  <a16:creationId xmlns:a16="http://schemas.microsoft.com/office/drawing/2014/main" id="{00000000-0008-0000-0400-000021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6</xdr:col>
          <xdr:colOff>28575</xdr:colOff>
          <xdr:row>23</xdr:row>
          <xdr:rowOff>0</xdr:rowOff>
        </xdr:to>
        <xdr:sp macro="" textlink="">
          <xdr:nvSpPr>
            <xdr:cNvPr id="1058" name="Drop Down 34" hidden="1">
              <a:extLst>
                <a:ext uri="{63B3BB69-23CF-44E3-9099-C40C66FF867C}">
                  <a14:compatExt spid="_x0000_s1058"/>
                </a:ext>
                <a:ext uri="{FF2B5EF4-FFF2-40B4-BE49-F238E27FC236}">
                  <a16:creationId xmlns:a16="http://schemas.microsoft.com/office/drawing/2014/main" id="{00000000-0008-0000-0400-000022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6</xdr:col>
          <xdr:colOff>28575</xdr:colOff>
          <xdr:row>28</xdr:row>
          <xdr:rowOff>19050</xdr:rowOff>
        </xdr:to>
        <xdr:sp macro="" textlink="">
          <xdr:nvSpPr>
            <xdr:cNvPr id="1071" name="Drop Down 47" hidden="1">
              <a:extLst>
                <a:ext uri="{63B3BB69-23CF-44E3-9099-C40C66FF867C}">
                  <a14:compatExt spid="_x0000_s1071"/>
                </a:ext>
                <a:ext uri="{FF2B5EF4-FFF2-40B4-BE49-F238E27FC236}">
                  <a16:creationId xmlns:a16="http://schemas.microsoft.com/office/drawing/2014/main" id="{00000000-0008-0000-0400-00002F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6</xdr:col>
          <xdr:colOff>28575</xdr:colOff>
          <xdr:row>37</xdr:row>
          <xdr:rowOff>0</xdr:rowOff>
        </xdr:to>
        <xdr:sp macro="" textlink="">
          <xdr:nvSpPr>
            <xdr:cNvPr id="1073" name="Drop Down 49" hidden="1">
              <a:extLst>
                <a:ext uri="{63B3BB69-23CF-44E3-9099-C40C66FF867C}">
                  <a14:compatExt spid="_x0000_s1073"/>
                </a:ext>
                <a:ext uri="{FF2B5EF4-FFF2-40B4-BE49-F238E27FC236}">
                  <a16:creationId xmlns:a16="http://schemas.microsoft.com/office/drawing/2014/main" id="{00000000-0008-0000-0400-000031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219075</xdr:rowOff>
        </xdr:from>
        <xdr:to>
          <xdr:col>6</xdr:col>
          <xdr:colOff>28575</xdr:colOff>
          <xdr:row>31</xdr:row>
          <xdr:rowOff>0</xdr:rowOff>
        </xdr:to>
        <xdr:sp macro="" textlink="">
          <xdr:nvSpPr>
            <xdr:cNvPr id="1075" name="Drop Down 51" hidden="1">
              <a:extLst>
                <a:ext uri="{63B3BB69-23CF-44E3-9099-C40C66FF867C}">
                  <a14:compatExt spid="_x0000_s1075"/>
                </a:ext>
                <a:ext uri="{FF2B5EF4-FFF2-40B4-BE49-F238E27FC236}">
                  <a16:creationId xmlns:a16="http://schemas.microsoft.com/office/drawing/2014/main" id="{00000000-0008-0000-0400-000033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219075</xdr:rowOff>
        </xdr:from>
        <xdr:to>
          <xdr:col>6</xdr:col>
          <xdr:colOff>28575</xdr:colOff>
          <xdr:row>29</xdr:row>
          <xdr:rowOff>0</xdr:rowOff>
        </xdr:to>
        <xdr:sp macro="" textlink="">
          <xdr:nvSpPr>
            <xdr:cNvPr id="1139" name="Drop Down 115" hidden="1">
              <a:extLst>
                <a:ext uri="{63B3BB69-23CF-44E3-9099-C40C66FF867C}">
                  <a14:compatExt spid="_x0000_s1139"/>
                </a:ext>
                <a:ext uri="{FF2B5EF4-FFF2-40B4-BE49-F238E27FC236}">
                  <a16:creationId xmlns:a16="http://schemas.microsoft.com/office/drawing/2014/main" id="{00000000-0008-0000-0400-000073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9525</xdr:rowOff>
        </xdr:from>
        <xdr:to>
          <xdr:col>7</xdr:col>
          <xdr:colOff>1587</xdr:colOff>
          <xdr:row>6</xdr:row>
          <xdr:rowOff>9525</xdr:rowOff>
        </xdr:to>
        <xdr:sp macro="" textlink="">
          <xdr:nvSpPr>
            <xdr:cNvPr id="1151" name="Group Box 127" hidden="1">
              <a:extLst>
                <a:ext uri="{63B3BB69-23CF-44E3-9099-C40C66FF867C}">
                  <a14:compatExt spid="_x0000_s1151"/>
                </a:ext>
                <a:ext uri="{FF2B5EF4-FFF2-40B4-BE49-F238E27FC236}">
                  <a16:creationId xmlns:a16="http://schemas.microsoft.com/office/drawing/2014/main" id="{00000000-0008-0000-0400-00007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xdr:row>
          <xdr:rowOff>9525</xdr:rowOff>
        </xdr:from>
        <xdr:to>
          <xdr:col>13</xdr:col>
          <xdr:colOff>0</xdr:colOff>
          <xdr:row>6</xdr:row>
          <xdr:rowOff>9525</xdr:rowOff>
        </xdr:to>
        <xdr:sp macro="" textlink="">
          <xdr:nvSpPr>
            <xdr:cNvPr id="1193" name="Group Box 169" hidden="1">
              <a:extLst>
                <a:ext uri="{63B3BB69-23CF-44E3-9099-C40C66FF867C}">
                  <a14:compatExt spid="_x0000_s1193"/>
                </a:ext>
                <a:ext uri="{FF2B5EF4-FFF2-40B4-BE49-F238E27FC236}">
                  <a16:creationId xmlns:a16="http://schemas.microsoft.com/office/drawing/2014/main" id="{00000000-0008-0000-0400-0000A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3</xdr:row>
          <xdr:rowOff>142875</xdr:rowOff>
        </xdr:from>
        <xdr:to>
          <xdr:col>8</xdr:col>
          <xdr:colOff>685800</xdr:colOff>
          <xdr:row>4</xdr:row>
          <xdr:rowOff>152400</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4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4</xdr:row>
          <xdr:rowOff>133350</xdr:rowOff>
        </xdr:from>
        <xdr:to>
          <xdr:col>8</xdr:col>
          <xdr:colOff>685800</xdr:colOff>
          <xdr:row>5</xdr:row>
          <xdr:rowOff>152400</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4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219075</xdr:rowOff>
        </xdr:from>
        <xdr:to>
          <xdr:col>6</xdr:col>
          <xdr:colOff>28575</xdr:colOff>
          <xdr:row>37</xdr:row>
          <xdr:rowOff>228600</xdr:rowOff>
        </xdr:to>
        <xdr:sp macro="" textlink="">
          <xdr:nvSpPr>
            <xdr:cNvPr id="1207" name="Drop Down 183" hidden="1">
              <a:extLst>
                <a:ext uri="{63B3BB69-23CF-44E3-9099-C40C66FF867C}">
                  <a14:compatExt spid="_x0000_s1207"/>
                </a:ext>
                <a:ext uri="{FF2B5EF4-FFF2-40B4-BE49-F238E27FC236}">
                  <a16:creationId xmlns:a16="http://schemas.microsoft.com/office/drawing/2014/main" id="{00000000-0008-0000-0400-0000B7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xdr:row>
          <xdr:rowOff>9525</xdr:rowOff>
        </xdr:from>
        <xdr:to>
          <xdr:col>3</xdr:col>
          <xdr:colOff>342900</xdr:colOff>
          <xdr:row>4</xdr:row>
          <xdr:rowOff>28575</xdr:rowOff>
        </xdr:to>
        <xdr:sp macro="" textlink="">
          <xdr:nvSpPr>
            <xdr:cNvPr id="2" name="Option Button 184" hidden="1">
              <a:extLst>
                <a:ext uri="{63B3BB69-23CF-44E3-9099-C40C66FF867C}">
                  <a14:compatExt spid="_x0000_s1208"/>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xdr:row>
          <xdr:rowOff>171450</xdr:rowOff>
        </xdr:from>
        <xdr:to>
          <xdr:col>3</xdr:col>
          <xdr:colOff>342900</xdr:colOff>
          <xdr:row>4</xdr:row>
          <xdr:rowOff>190500</xdr:rowOff>
        </xdr:to>
        <xdr:sp macro="" textlink="">
          <xdr:nvSpPr>
            <xdr:cNvPr id="3" name="Option Button 185" hidden="1">
              <a:extLst>
                <a:ext uri="{63B3BB69-23CF-44E3-9099-C40C66FF867C}">
                  <a14:compatExt spid="_x0000_s1209"/>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xdr:row>
          <xdr:rowOff>133350</xdr:rowOff>
        </xdr:from>
        <xdr:to>
          <xdr:col>3</xdr:col>
          <xdr:colOff>342900</xdr:colOff>
          <xdr:row>5</xdr:row>
          <xdr:rowOff>152400</xdr:rowOff>
        </xdr:to>
        <xdr:sp macro="" textlink="">
          <xdr:nvSpPr>
            <xdr:cNvPr id="4" name="Option Button 186" hidden="1">
              <a:extLst>
                <a:ext uri="{63B3BB69-23CF-44E3-9099-C40C66FF867C}">
                  <a14:compatExt spid="_x0000_s1210"/>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238125</xdr:rowOff>
        </xdr:from>
        <xdr:to>
          <xdr:col>6</xdr:col>
          <xdr:colOff>28575</xdr:colOff>
          <xdr:row>24</xdr:row>
          <xdr:rowOff>0</xdr:rowOff>
        </xdr:to>
        <xdr:sp macro="" textlink="">
          <xdr:nvSpPr>
            <xdr:cNvPr id="1215" name="Drop Down 191" hidden="1">
              <a:extLst>
                <a:ext uri="{63B3BB69-23CF-44E3-9099-C40C66FF867C}">
                  <a14:compatExt spid="_x0000_s1215"/>
                </a:ext>
                <a:ext uri="{FF2B5EF4-FFF2-40B4-BE49-F238E27FC236}">
                  <a16:creationId xmlns:a16="http://schemas.microsoft.com/office/drawing/2014/main" id="{00000000-0008-0000-0400-0000BF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228600</xdr:rowOff>
        </xdr:from>
        <xdr:to>
          <xdr:col>6</xdr:col>
          <xdr:colOff>28575</xdr:colOff>
          <xdr:row>29</xdr:row>
          <xdr:rowOff>219075</xdr:rowOff>
        </xdr:to>
        <xdr:sp macro="" textlink="">
          <xdr:nvSpPr>
            <xdr:cNvPr id="1216" name="Drop Down 192" hidden="1">
              <a:extLst>
                <a:ext uri="{63B3BB69-23CF-44E3-9099-C40C66FF867C}">
                  <a14:compatExt spid="_x0000_s1216"/>
                </a:ext>
                <a:ext uri="{FF2B5EF4-FFF2-40B4-BE49-F238E27FC236}">
                  <a16:creationId xmlns:a16="http://schemas.microsoft.com/office/drawing/2014/main" id="{00000000-0008-0000-0400-0000C0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xdr:twoCellAnchor>
    <xdr:from>
      <xdr:col>3</xdr:col>
      <xdr:colOff>240549</xdr:colOff>
      <xdr:row>9</xdr:row>
      <xdr:rowOff>74758</xdr:rowOff>
    </xdr:from>
    <xdr:to>
      <xdr:col>3</xdr:col>
      <xdr:colOff>836864</xdr:colOff>
      <xdr:row>10</xdr:row>
      <xdr:rowOff>62058</xdr:rowOff>
    </xdr:to>
    <xdr:sp macro="" textlink="">
      <xdr:nvSpPr>
        <xdr:cNvPr id="37" name="Text 27">
          <a:extLst>
            <a:ext uri="{FF2B5EF4-FFF2-40B4-BE49-F238E27FC236}">
              <a16:creationId xmlns:a16="http://schemas.microsoft.com/office/drawing/2014/main" id="{00000000-0008-0000-0400-000025000000}"/>
            </a:ext>
          </a:extLst>
        </xdr:cNvPr>
        <xdr:cNvSpPr txBox="1">
          <a:spLocks noChangeArrowheads="1"/>
        </xdr:cNvSpPr>
      </xdr:nvSpPr>
      <xdr:spPr bwMode="auto">
        <a:xfrm>
          <a:off x="812049" y="1555463"/>
          <a:ext cx="596315" cy="229754"/>
        </a:xfrm>
        <a:prstGeom prst="rect">
          <a:avLst/>
        </a:prstGeom>
        <a:noFill/>
        <a:ln>
          <a:noFill/>
        </a:ln>
      </xdr:spPr>
      <xdr:txBody>
        <a:bodyPr vertOverflow="clip" wrap="square" lIns="36576" tIns="22860" rIns="0" bIns="0" anchor="t" upright="1"/>
        <a:lstStyle/>
        <a:p>
          <a:pPr algn="l" rtl="0">
            <a:defRPr sz="1000"/>
          </a:pPr>
          <a:r>
            <a:rPr lang="de-DE" sz="1000" b="0" i="0" u="none" strike="noStrike" baseline="0">
              <a:solidFill>
                <a:srgbClr val="000000"/>
              </a:solidFill>
              <a:latin typeface="Arial"/>
              <a:cs typeface="Arial"/>
            </a:rPr>
            <a:t>TMR</a:t>
          </a:r>
        </a:p>
        <a:p>
          <a:pPr algn="l" rtl="0">
            <a:defRPr sz="1000"/>
          </a:pPr>
          <a:endParaRPr lang="de-DE" sz="700"/>
        </a:p>
      </xdr:txBody>
    </xdr:sp>
    <xdr:clientData/>
  </xdr:twoCellAnchor>
  <xdr:twoCellAnchor>
    <xdr:from>
      <xdr:col>3</xdr:col>
      <xdr:colOff>257869</xdr:colOff>
      <xdr:row>11</xdr:row>
      <xdr:rowOff>2021</xdr:rowOff>
    </xdr:from>
    <xdr:to>
      <xdr:col>3</xdr:col>
      <xdr:colOff>1114715</xdr:colOff>
      <xdr:row>11</xdr:row>
      <xdr:rowOff>193676</xdr:rowOff>
    </xdr:to>
    <xdr:sp macro="" textlink="">
      <xdr:nvSpPr>
        <xdr:cNvPr id="6" name="Text 27">
          <a:extLst>
            <a:ext uri="{FF2B5EF4-FFF2-40B4-BE49-F238E27FC236}">
              <a16:creationId xmlns:a16="http://schemas.microsoft.com/office/drawing/2014/main" id="{00000000-0008-0000-0400-000006000000}"/>
            </a:ext>
          </a:extLst>
        </xdr:cNvPr>
        <xdr:cNvSpPr txBox="1">
          <a:spLocks noChangeArrowheads="1"/>
        </xdr:cNvSpPr>
      </xdr:nvSpPr>
      <xdr:spPr bwMode="auto">
        <a:xfrm>
          <a:off x="864005" y="2019589"/>
          <a:ext cx="856846" cy="191655"/>
        </a:xfrm>
        <a:prstGeom prst="rect">
          <a:avLst/>
        </a:prstGeom>
        <a:noFill/>
        <a:ln>
          <a:noFill/>
        </a:ln>
        <a:effec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Einzelkomp.</a:t>
          </a:r>
          <a:endParaRPr lang="de-DE" sz="1000"/>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7</xdr:col>
          <xdr:colOff>1587</xdr:colOff>
          <xdr:row>12</xdr:row>
          <xdr:rowOff>0</xdr:rowOff>
        </xdr:to>
        <xdr:sp macro="" textlink="">
          <xdr:nvSpPr>
            <xdr:cNvPr id="1223" name="Group Box 199" hidden="1">
              <a:extLst>
                <a:ext uri="{63B3BB69-23CF-44E3-9099-C40C66FF867C}">
                  <a14:compatExt spid="_x0000_s1223"/>
                </a:ext>
                <a:ext uri="{FF2B5EF4-FFF2-40B4-BE49-F238E27FC236}">
                  <a16:creationId xmlns:a16="http://schemas.microsoft.com/office/drawing/2014/main" id="{00000000-0008-0000-0400-0000C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4</xdr:col>
          <xdr:colOff>0</xdr:colOff>
          <xdr:row>12</xdr:row>
          <xdr:rowOff>0</xdr:rowOff>
        </xdr:to>
        <xdr:sp macro="" textlink="">
          <xdr:nvSpPr>
            <xdr:cNvPr id="1228" name="Group Box 204" hidden="1">
              <a:extLst>
                <a:ext uri="{63B3BB69-23CF-44E3-9099-C40C66FF867C}">
                  <a14:compatExt spid="_x0000_s1228"/>
                </a:ext>
                <a:ext uri="{FF2B5EF4-FFF2-40B4-BE49-F238E27FC236}">
                  <a16:creationId xmlns:a16="http://schemas.microsoft.com/office/drawing/2014/main" id="{00000000-0008-0000-0400-0000C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47625</xdr:rowOff>
        </xdr:from>
        <xdr:to>
          <xdr:col>3</xdr:col>
          <xdr:colOff>1162050</xdr:colOff>
          <xdr:row>10</xdr:row>
          <xdr:rowOff>38100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4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xdr:row>
          <xdr:rowOff>257175</xdr:rowOff>
        </xdr:from>
        <xdr:to>
          <xdr:col>3</xdr:col>
          <xdr:colOff>1504950</xdr:colOff>
          <xdr:row>12</xdr:row>
          <xdr:rowOff>0</xdr:rowOff>
        </xdr:to>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4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19050</xdr:rowOff>
        </xdr:from>
        <xdr:to>
          <xdr:col>5</xdr:col>
          <xdr:colOff>85725</xdr:colOff>
          <xdr:row>10</xdr:row>
          <xdr:rowOff>238125</xdr:rowOff>
        </xdr:to>
        <xdr:sp macro="" textlink="">
          <xdr:nvSpPr>
            <xdr:cNvPr id="1232" name="Option Button 208" hidden="1">
              <a:extLst>
                <a:ext uri="{63B3BB69-23CF-44E3-9099-C40C66FF867C}">
                  <a14:compatExt spid="_x0000_s1232"/>
                </a:ext>
                <a:ext uri="{FF2B5EF4-FFF2-40B4-BE49-F238E27FC236}">
                  <a16:creationId xmlns:a16="http://schemas.microsoft.com/office/drawing/2014/main" id="{00000000-0008-0000-04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238125</xdr:rowOff>
        </xdr:from>
        <xdr:to>
          <xdr:col>5</xdr:col>
          <xdr:colOff>257175</xdr:colOff>
          <xdr:row>11</xdr:row>
          <xdr:rowOff>190500</xdr:rowOff>
        </xdr:to>
        <xdr:sp macro="" textlink="">
          <xdr:nvSpPr>
            <xdr:cNvPr id="1234" name="Option Button 210" hidden="1">
              <a:extLst>
                <a:ext uri="{63B3BB69-23CF-44E3-9099-C40C66FF867C}">
                  <a14:compatExt spid="_x0000_s1234"/>
                </a:ext>
                <a:ext uri="{FF2B5EF4-FFF2-40B4-BE49-F238E27FC236}">
                  <a16:creationId xmlns:a16="http://schemas.microsoft.com/office/drawing/2014/main" id="{00000000-0008-0000-04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30</xdr:col>
      <xdr:colOff>238125</xdr:colOff>
      <xdr:row>0</xdr:row>
      <xdr:rowOff>68791</xdr:rowOff>
    </xdr:from>
    <xdr:to>
      <xdr:col>39</xdr:col>
      <xdr:colOff>121998</xdr:colOff>
      <xdr:row>3</xdr:row>
      <xdr:rowOff>116583</xdr:rowOff>
    </xdr:to>
    <xdr:pic>
      <xdr:nvPicPr>
        <xdr:cNvPr id="5" name="Grafik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16213667" y="68791"/>
          <a:ext cx="1772998" cy="36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88900</xdr:colOff>
      <xdr:row>0</xdr:row>
      <xdr:rowOff>38100</xdr:rowOff>
    </xdr:from>
    <xdr:to>
      <xdr:col>20</xdr:col>
      <xdr:colOff>426798</xdr:colOff>
      <xdr:row>1</xdr:row>
      <xdr:rowOff>163150</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13620750" y="38100"/>
          <a:ext cx="1772998" cy="36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9525</xdr:colOff>
          <xdr:row>3</xdr:row>
          <xdr:rowOff>66675</xdr:rowOff>
        </xdr:from>
        <xdr:to>
          <xdr:col>32</xdr:col>
          <xdr:colOff>9525</xdr:colOff>
          <xdr:row>4</xdr:row>
          <xdr:rowOff>9525</xdr:rowOff>
        </xdr:to>
        <xdr:sp macro="" textlink="">
          <xdr:nvSpPr>
            <xdr:cNvPr id="12289" name="Drop Down 1" hidden="1">
              <a:extLst>
                <a:ext uri="{63B3BB69-23CF-44E3-9099-C40C66FF867C}">
                  <a14:compatExt spid="_x0000_s12289"/>
                </a:ext>
                <a:ext uri="{FF2B5EF4-FFF2-40B4-BE49-F238E27FC236}">
                  <a16:creationId xmlns:a16="http://schemas.microsoft.com/office/drawing/2014/main" id="{00000000-0008-0000-06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685800</xdr:colOff>
          <xdr:row>15</xdr:row>
          <xdr:rowOff>0</xdr:rowOff>
        </xdr:from>
        <xdr:to>
          <xdr:col>32</xdr:col>
          <xdr:colOff>0</xdr:colOff>
          <xdr:row>16</xdr:row>
          <xdr:rowOff>0</xdr:rowOff>
        </xdr:to>
        <xdr:sp macro="" textlink="">
          <xdr:nvSpPr>
            <xdr:cNvPr id="12295" name="Spinner 7" hidden="1">
              <a:extLst>
                <a:ext uri="{63B3BB69-23CF-44E3-9099-C40C66FF867C}">
                  <a14:compatExt spid="_x0000_s12295"/>
                </a:ext>
                <a:ext uri="{FF2B5EF4-FFF2-40B4-BE49-F238E27FC236}">
                  <a16:creationId xmlns:a16="http://schemas.microsoft.com/office/drawing/2014/main" id="{00000000-0008-0000-0600-0000073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685800</xdr:colOff>
          <xdr:row>11</xdr:row>
          <xdr:rowOff>9525</xdr:rowOff>
        </xdr:from>
        <xdr:to>
          <xdr:col>32</xdr:col>
          <xdr:colOff>0</xdr:colOff>
          <xdr:row>12</xdr:row>
          <xdr:rowOff>9525</xdr:rowOff>
        </xdr:to>
        <xdr:sp macro="" textlink="">
          <xdr:nvSpPr>
            <xdr:cNvPr id="12299" name="Spinner 11" hidden="1">
              <a:extLst>
                <a:ext uri="{63B3BB69-23CF-44E3-9099-C40C66FF867C}">
                  <a14:compatExt spid="_x0000_s12299"/>
                </a:ext>
                <a:ext uri="{FF2B5EF4-FFF2-40B4-BE49-F238E27FC236}">
                  <a16:creationId xmlns:a16="http://schemas.microsoft.com/office/drawing/2014/main" id="{00000000-0008-0000-0600-00000B3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685800</xdr:colOff>
          <xdr:row>13</xdr:row>
          <xdr:rowOff>9525</xdr:rowOff>
        </xdr:from>
        <xdr:to>
          <xdr:col>32</xdr:col>
          <xdr:colOff>0</xdr:colOff>
          <xdr:row>14</xdr:row>
          <xdr:rowOff>9525</xdr:rowOff>
        </xdr:to>
        <xdr:sp macro="" textlink="">
          <xdr:nvSpPr>
            <xdr:cNvPr id="12304" name="Spinner 16" hidden="1">
              <a:extLst>
                <a:ext uri="{63B3BB69-23CF-44E3-9099-C40C66FF867C}">
                  <a14:compatExt spid="_x0000_s12304"/>
                </a:ext>
                <a:ext uri="{FF2B5EF4-FFF2-40B4-BE49-F238E27FC236}">
                  <a16:creationId xmlns:a16="http://schemas.microsoft.com/office/drawing/2014/main" id="{00000000-0008-0000-0600-0000103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twoCellAnchor>
    <xdr:from>
      <xdr:col>0</xdr:col>
      <xdr:colOff>63212</xdr:colOff>
      <xdr:row>50</xdr:row>
      <xdr:rowOff>103931</xdr:rowOff>
    </xdr:from>
    <xdr:to>
      <xdr:col>14</xdr:col>
      <xdr:colOff>545522</xdr:colOff>
      <xdr:row>64</xdr:row>
      <xdr:rowOff>51954</xdr:rowOff>
    </xdr:to>
    <xdr:graphicFrame macro="">
      <xdr:nvGraphicFramePr>
        <xdr:cNvPr id="5" name="Diagramm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25977</xdr:colOff>
      <xdr:row>50</xdr:row>
      <xdr:rowOff>103931</xdr:rowOff>
    </xdr:from>
    <xdr:to>
      <xdr:col>31</xdr:col>
      <xdr:colOff>831273</xdr:colOff>
      <xdr:row>64</xdr:row>
      <xdr:rowOff>51954</xdr:rowOff>
    </xdr:to>
    <xdr:graphicFrame macro="">
      <xdr:nvGraphicFramePr>
        <xdr:cNvPr id="19" name="Diagramm 18">
          <a:extLst>
            <a:ext uri="{FF2B5EF4-FFF2-40B4-BE49-F238E27FC236}">
              <a16:creationId xmlns:a16="http://schemas.microsoft.com/office/drawing/2014/main" id="{00000000-0008-0000-06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31</xdr:col>
          <xdr:colOff>9525</xdr:colOff>
          <xdr:row>5</xdr:row>
          <xdr:rowOff>9525</xdr:rowOff>
        </xdr:from>
        <xdr:to>
          <xdr:col>32</xdr:col>
          <xdr:colOff>0</xdr:colOff>
          <xdr:row>5</xdr:row>
          <xdr:rowOff>266700</xdr:rowOff>
        </xdr:to>
        <xdr:sp macro="" textlink="">
          <xdr:nvSpPr>
            <xdr:cNvPr id="12305" name="Drop Down 17" hidden="1">
              <a:extLst>
                <a:ext uri="{63B3BB69-23CF-44E3-9099-C40C66FF867C}">
                  <a14:compatExt spid="_x0000_s12305"/>
                </a:ext>
                <a:ext uri="{FF2B5EF4-FFF2-40B4-BE49-F238E27FC236}">
                  <a16:creationId xmlns:a16="http://schemas.microsoft.com/office/drawing/2014/main" id="{00000000-0008-0000-06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714375</xdr:colOff>
          <xdr:row>5</xdr:row>
          <xdr:rowOff>9525</xdr:rowOff>
        </xdr:from>
        <xdr:to>
          <xdr:col>11</xdr:col>
          <xdr:colOff>9525</xdr:colOff>
          <xdr:row>6</xdr:row>
          <xdr:rowOff>0</xdr:rowOff>
        </xdr:to>
        <xdr:sp macro="" textlink="">
          <xdr:nvSpPr>
            <xdr:cNvPr id="12306" name="Spinner 18" hidden="1">
              <a:extLst>
                <a:ext uri="{63B3BB69-23CF-44E3-9099-C40C66FF867C}">
                  <a14:compatExt spid="_x0000_s12306"/>
                </a:ext>
                <a:ext uri="{FF2B5EF4-FFF2-40B4-BE49-F238E27FC236}">
                  <a16:creationId xmlns:a16="http://schemas.microsoft.com/office/drawing/2014/main" id="{00000000-0008-0000-0600-0000123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704850</xdr:colOff>
          <xdr:row>17</xdr:row>
          <xdr:rowOff>0</xdr:rowOff>
        </xdr:from>
        <xdr:to>
          <xdr:col>32</xdr:col>
          <xdr:colOff>9525</xdr:colOff>
          <xdr:row>18</xdr:row>
          <xdr:rowOff>0</xdr:rowOff>
        </xdr:to>
        <xdr:sp macro="" textlink="">
          <xdr:nvSpPr>
            <xdr:cNvPr id="12309" name="Spinner 21" hidden="1">
              <a:extLst>
                <a:ext uri="{63B3BB69-23CF-44E3-9099-C40C66FF867C}">
                  <a14:compatExt spid="_x0000_s12309"/>
                </a:ext>
                <a:ext uri="{FF2B5EF4-FFF2-40B4-BE49-F238E27FC236}">
                  <a16:creationId xmlns:a16="http://schemas.microsoft.com/office/drawing/2014/main" id="{00000000-0008-0000-0600-000015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30</xdr:col>
      <xdr:colOff>701262</xdr:colOff>
      <xdr:row>0</xdr:row>
      <xdr:rowOff>27609</xdr:rowOff>
    </xdr:from>
    <xdr:to>
      <xdr:col>32</xdr:col>
      <xdr:colOff>94389</xdr:colOff>
      <xdr:row>0</xdr:row>
      <xdr:rowOff>387609</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11200"/>
                  </a14:imgEffect>
                </a14:imgLayer>
              </a14:imgProps>
            </a:ext>
          </a:extLst>
        </a:blip>
        <a:stretch>
          <a:fillRect/>
        </a:stretch>
      </xdr:blipFill>
      <xdr:spPr>
        <a:xfrm>
          <a:off x="10905436" y="27609"/>
          <a:ext cx="1772998" cy="360000"/>
        </a:xfrm>
        <a:prstGeom prst="rect">
          <a:avLst/>
        </a:prstGeom>
      </xdr:spPr>
    </xdr:pic>
    <xdr:clientData/>
  </xdr:twoCellAnchor>
</xdr:wsDr>
</file>

<file path=xl/drawings/drawing8.xml><?xml version="1.0" encoding="utf-8"?>
<c:userShapes xmlns:c="http://schemas.openxmlformats.org/drawingml/2006/chart">
  <cdr:relSizeAnchor xmlns:cdr="http://schemas.openxmlformats.org/drawingml/2006/chartDrawing">
    <cdr:from>
      <cdr:x>0.73425</cdr:x>
      <cdr:y>0.3592</cdr:y>
    </cdr:from>
    <cdr:to>
      <cdr:x>0.86849</cdr:x>
      <cdr:y>0.42129</cdr:y>
    </cdr:to>
    <cdr:sp macro="" textlink="">
      <cdr:nvSpPr>
        <cdr:cNvPr id="3" name="Textfeld 2"/>
        <cdr:cNvSpPr txBox="1"/>
      </cdr:nvSpPr>
      <cdr:spPr>
        <a:xfrm xmlns:a="http://schemas.openxmlformats.org/drawingml/2006/main">
          <a:off x="5105400" y="1543052"/>
          <a:ext cx="933450" cy="26670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algn="ctr"/>
          <a:r>
            <a:rPr lang="de-DE" sz="1200" b="1"/>
            <a:t>Kraftfutter</a:t>
          </a:r>
        </a:p>
      </cdr:txBody>
    </cdr:sp>
  </cdr:relSizeAnchor>
  <cdr:relSizeAnchor xmlns:cdr="http://schemas.openxmlformats.org/drawingml/2006/chartDrawing">
    <cdr:from>
      <cdr:x>0.21598</cdr:x>
      <cdr:y>0.55794</cdr:y>
    </cdr:from>
    <cdr:to>
      <cdr:x>0.43044</cdr:x>
      <cdr:y>0.64658</cdr:y>
    </cdr:to>
    <cdr:sp macro="" textlink="">
      <cdr:nvSpPr>
        <cdr:cNvPr id="4" name="Textfeld 1"/>
        <cdr:cNvSpPr txBox="1"/>
      </cdr:nvSpPr>
      <cdr:spPr>
        <a:xfrm xmlns:a="http://schemas.openxmlformats.org/drawingml/2006/main">
          <a:off x="841579" y="1125661"/>
          <a:ext cx="835687" cy="17885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algn="ctr"/>
          <a:r>
            <a:rPr lang="de-DE" sz="800" b="1"/>
            <a:t>Grobfutter</a:t>
          </a:r>
        </a:p>
      </cdr:txBody>
    </cdr:sp>
  </cdr:relSizeAnchor>
  <cdr:relSizeAnchor xmlns:cdr="http://schemas.openxmlformats.org/drawingml/2006/chartDrawing">
    <cdr:from>
      <cdr:x>0.6971</cdr:x>
      <cdr:y>0.32617</cdr:y>
    </cdr:from>
    <cdr:to>
      <cdr:x>0.86849</cdr:x>
      <cdr:y>0.42129</cdr:y>
    </cdr:to>
    <cdr:sp macro="" textlink="">
      <cdr:nvSpPr>
        <cdr:cNvPr id="5" name="Textfeld 2"/>
        <cdr:cNvSpPr txBox="1"/>
      </cdr:nvSpPr>
      <cdr:spPr>
        <a:xfrm xmlns:a="http://schemas.openxmlformats.org/drawingml/2006/main">
          <a:off x="2716357" y="658069"/>
          <a:ext cx="667829" cy="191903"/>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algn="ctr"/>
          <a:r>
            <a:rPr lang="de-DE" sz="800" b="1"/>
            <a:t>Konzentratfutter</a:t>
          </a:r>
        </a:p>
      </cdr:txBody>
    </cdr:sp>
  </cdr:relSizeAnchor>
</c:userShapes>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9525</xdr:rowOff>
        </xdr:from>
        <xdr:to>
          <xdr:col>3</xdr:col>
          <xdr:colOff>0</xdr:colOff>
          <xdr:row>4</xdr:row>
          <xdr:rowOff>28575</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9525</xdr:rowOff>
        </xdr:from>
        <xdr:to>
          <xdr:col>3</xdr:col>
          <xdr:colOff>0</xdr:colOff>
          <xdr:row>7</xdr:row>
          <xdr:rowOff>28575</xdr:rowOff>
        </xdr:to>
        <xdr:sp macro="" textlink="">
          <xdr:nvSpPr>
            <xdr:cNvPr id="9218" name="Drop Down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9525</xdr:rowOff>
        </xdr:from>
        <xdr:to>
          <xdr:col>3</xdr:col>
          <xdr:colOff>0</xdr:colOff>
          <xdr:row>8</xdr:row>
          <xdr:rowOff>28575</xdr:rowOff>
        </xdr:to>
        <xdr:sp macro="" textlink="">
          <xdr:nvSpPr>
            <xdr:cNvPr id="9219" name="Drop Down 3" hidden="1">
              <a:extLst>
                <a:ext uri="{63B3BB69-23CF-44E3-9099-C40C66FF867C}">
                  <a14:compatExt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9525</xdr:rowOff>
        </xdr:from>
        <xdr:to>
          <xdr:col>3</xdr:col>
          <xdr:colOff>0</xdr:colOff>
          <xdr:row>9</xdr:row>
          <xdr:rowOff>28575</xdr:rowOff>
        </xdr:to>
        <xdr:sp macro="" textlink="">
          <xdr:nvSpPr>
            <xdr:cNvPr id="9220" name="Drop Down 4" hidden="1">
              <a:extLst>
                <a:ext uri="{63B3BB69-23CF-44E3-9099-C40C66FF867C}">
                  <a14:compatExt spid="_x0000_s9220"/>
                </a:ext>
                <a:ext uri="{FF2B5EF4-FFF2-40B4-BE49-F238E27FC236}">
                  <a16:creationId xmlns:a16="http://schemas.microsoft.com/office/drawing/2014/main" id="{00000000-0008-0000-0800-000004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9525</xdr:rowOff>
        </xdr:from>
        <xdr:to>
          <xdr:col>3</xdr:col>
          <xdr:colOff>0</xdr:colOff>
          <xdr:row>10</xdr:row>
          <xdr:rowOff>28575</xdr:rowOff>
        </xdr:to>
        <xdr:sp macro="" textlink="">
          <xdr:nvSpPr>
            <xdr:cNvPr id="9221" name="Drop Down 5" hidden="1">
              <a:extLst>
                <a:ext uri="{63B3BB69-23CF-44E3-9099-C40C66FF867C}">
                  <a14:compatExt spid="_x0000_s9221"/>
                </a:ext>
                <a:ext uri="{FF2B5EF4-FFF2-40B4-BE49-F238E27FC236}">
                  <a16:creationId xmlns:a16="http://schemas.microsoft.com/office/drawing/2014/main" id="{00000000-0008-0000-0800-000005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9525</xdr:rowOff>
        </xdr:from>
        <xdr:to>
          <xdr:col>3</xdr:col>
          <xdr:colOff>0</xdr:colOff>
          <xdr:row>11</xdr:row>
          <xdr:rowOff>28575</xdr:rowOff>
        </xdr:to>
        <xdr:sp macro="" textlink="">
          <xdr:nvSpPr>
            <xdr:cNvPr id="9222" name="Drop Down 6" hidden="1">
              <a:extLst>
                <a:ext uri="{63B3BB69-23CF-44E3-9099-C40C66FF867C}">
                  <a14:compatExt spid="_x0000_s9222"/>
                </a:ext>
                <a:ext uri="{FF2B5EF4-FFF2-40B4-BE49-F238E27FC236}">
                  <a16:creationId xmlns:a16="http://schemas.microsoft.com/office/drawing/2014/main" id="{00000000-0008-0000-0800-000006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3</xdr:col>
          <xdr:colOff>0</xdr:colOff>
          <xdr:row>12</xdr:row>
          <xdr:rowOff>28575</xdr:rowOff>
        </xdr:to>
        <xdr:sp macro="" textlink="">
          <xdr:nvSpPr>
            <xdr:cNvPr id="9223" name="Drop Down 7" hidden="1">
              <a:extLst>
                <a:ext uri="{63B3BB69-23CF-44E3-9099-C40C66FF867C}">
                  <a14:compatExt spid="_x0000_s9223"/>
                </a:ext>
                <a:ext uri="{FF2B5EF4-FFF2-40B4-BE49-F238E27FC236}">
                  <a16:creationId xmlns:a16="http://schemas.microsoft.com/office/drawing/2014/main" id="{00000000-0008-0000-0800-000007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9525</xdr:rowOff>
        </xdr:from>
        <xdr:to>
          <xdr:col>3</xdr:col>
          <xdr:colOff>0</xdr:colOff>
          <xdr:row>13</xdr:row>
          <xdr:rowOff>28575</xdr:rowOff>
        </xdr:to>
        <xdr:sp macro="" textlink="">
          <xdr:nvSpPr>
            <xdr:cNvPr id="9224" name="Drop Down 8" hidden="1">
              <a:extLst>
                <a:ext uri="{63B3BB69-23CF-44E3-9099-C40C66FF867C}">
                  <a14:compatExt spid="_x0000_s9224"/>
                </a:ext>
                <a:ext uri="{FF2B5EF4-FFF2-40B4-BE49-F238E27FC236}">
                  <a16:creationId xmlns:a16="http://schemas.microsoft.com/office/drawing/2014/main" id="{00000000-0008-0000-0800-000008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9525</xdr:rowOff>
        </xdr:from>
        <xdr:to>
          <xdr:col>3</xdr:col>
          <xdr:colOff>0</xdr:colOff>
          <xdr:row>14</xdr:row>
          <xdr:rowOff>28575</xdr:rowOff>
        </xdr:to>
        <xdr:sp macro="" textlink="">
          <xdr:nvSpPr>
            <xdr:cNvPr id="9225" name="Drop Down 9" hidden="1">
              <a:extLst>
                <a:ext uri="{63B3BB69-23CF-44E3-9099-C40C66FF867C}">
                  <a14:compatExt spid="_x0000_s9225"/>
                </a:ext>
                <a:ext uri="{FF2B5EF4-FFF2-40B4-BE49-F238E27FC236}">
                  <a16:creationId xmlns:a16="http://schemas.microsoft.com/office/drawing/2014/main" id="{00000000-0008-0000-0800-000009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9525</xdr:rowOff>
        </xdr:from>
        <xdr:to>
          <xdr:col>3</xdr:col>
          <xdr:colOff>0</xdr:colOff>
          <xdr:row>15</xdr:row>
          <xdr:rowOff>28575</xdr:rowOff>
        </xdr:to>
        <xdr:sp macro="" textlink="">
          <xdr:nvSpPr>
            <xdr:cNvPr id="9226" name="Drop Down 10" hidden="1">
              <a:extLst>
                <a:ext uri="{63B3BB69-23CF-44E3-9099-C40C66FF867C}">
                  <a14:compatExt spid="_x0000_s9226"/>
                </a:ext>
                <a:ext uri="{FF2B5EF4-FFF2-40B4-BE49-F238E27FC236}">
                  <a16:creationId xmlns:a16="http://schemas.microsoft.com/office/drawing/2014/main" id="{00000000-0008-0000-0800-00000A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9525</xdr:rowOff>
        </xdr:from>
        <xdr:to>
          <xdr:col>3</xdr:col>
          <xdr:colOff>0</xdr:colOff>
          <xdr:row>16</xdr:row>
          <xdr:rowOff>28575</xdr:rowOff>
        </xdr:to>
        <xdr:sp macro="" textlink="">
          <xdr:nvSpPr>
            <xdr:cNvPr id="9227" name="Drop Down 11" hidden="1">
              <a:extLst>
                <a:ext uri="{63B3BB69-23CF-44E3-9099-C40C66FF867C}">
                  <a14:compatExt spid="_x0000_s9227"/>
                </a:ext>
                <a:ext uri="{FF2B5EF4-FFF2-40B4-BE49-F238E27FC236}">
                  <a16:creationId xmlns:a16="http://schemas.microsoft.com/office/drawing/2014/main" id="{00000000-0008-0000-0800-00000B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9525</xdr:rowOff>
        </xdr:from>
        <xdr:to>
          <xdr:col>3</xdr:col>
          <xdr:colOff>0</xdr:colOff>
          <xdr:row>17</xdr:row>
          <xdr:rowOff>28575</xdr:rowOff>
        </xdr:to>
        <xdr:sp macro="" textlink="">
          <xdr:nvSpPr>
            <xdr:cNvPr id="9228" name="Drop Down 12" hidden="1">
              <a:extLst>
                <a:ext uri="{63B3BB69-23CF-44E3-9099-C40C66FF867C}">
                  <a14:compatExt spid="_x0000_s9228"/>
                </a:ext>
                <a:ext uri="{FF2B5EF4-FFF2-40B4-BE49-F238E27FC236}">
                  <a16:creationId xmlns:a16="http://schemas.microsoft.com/office/drawing/2014/main" id="{00000000-0008-0000-0800-00000C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9525</xdr:rowOff>
        </xdr:from>
        <xdr:to>
          <xdr:col>2</xdr:col>
          <xdr:colOff>1781175</xdr:colOff>
          <xdr:row>18</xdr:row>
          <xdr:rowOff>47625</xdr:rowOff>
        </xdr:to>
        <xdr:sp macro="" textlink="">
          <xdr:nvSpPr>
            <xdr:cNvPr id="9229" name="Drop Down 13" hidden="1">
              <a:extLst>
                <a:ext uri="{63B3BB69-23CF-44E3-9099-C40C66FF867C}">
                  <a14:compatExt spid="_x0000_s9229"/>
                </a:ext>
                <a:ext uri="{FF2B5EF4-FFF2-40B4-BE49-F238E27FC236}">
                  <a16:creationId xmlns:a16="http://schemas.microsoft.com/office/drawing/2014/main" id="{00000000-0008-0000-0800-00000D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9525</xdr:rowOff>
        </xdr:from>
        <xdr:to>
          <xdr:col>3</xdr:col>
          <xdr:colOff>0</xdr:colOff>
          <xdr:row>18</xdr:row>
          <xdr:rowOff>28575</xdr:rowOff>
        </xdr:to>
        <xdr:sp macro="" textlink="">
          <xdr:nvSpPr>
            <xdr:cNvPr id="9230" name="Drop Down 14" hidden="1">
              <a:extLst>
                <a:ext uri="{63B3BB69-23CF-44E3-9099-C40C66FF867C}">
                  <a14:compatExt spid="_x0000_s9230"/>
                </a:ext>
                <a:ext uri="{FF2B5EF4-FFF2-40B4-BE49-F238E27FC236}">
                  <a16:creationId xmlns:a16="http://schemas.microsoft.com/office/drawing/2014/main" id="{00000000-0008-0000-0800-00000E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9525</xdr:rowOff>
        </xdr:from>
        <xdr:to>
          <xdr:col>2</xdr:col>
          <xdr:colOff>1781175</xdr:colOff>
          <xdr:row>19</xdr:row>
          <xdr:rowOff>47625</xdr:rowOff>
        </xdr:to>
        <xdr:sp macro="" textlink="">
          <xdr:nvSpPr>
            <xdr:cNvPr id="9231" name="Drop Down 15" hidden="1">
              <a:extLst>
                <a:ext uri="{63B3BB69-23CF-44E3-9099-C40C66FF867C}">
                  <a14:compatExt spid="_x0000_s9231"/>
                </a:ext>
                <a:ext uri="{FF2B5EF4-FFF2-40B4-BE49-F238E27FC236}">
                  <a16:creationId xmlns:a16="http://schemas.microsoft.com/office/drawing/2014/main" id="{00000000-0008-0000-0800-00000F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9525</xdr:rowOff>
        </xdr:from>
        <xdr:to>
          <xdr:col>3</xdr:col>
          <xdr:colOff>0</xdr:colOff>
          <xdr:row>19</xdr:row>
          <xdr:rowOff>28575</xdr:rowOff>
        </xdr:to>
        <xdr:sp macro="" textlink="">
          <xdr:nvSpPr>
            <xdr:cNvPr id="9232" name="Drop Down 16" hidden="1">
              <a:extLst>
                <a:ext uri="{63B3BB69-23CF-44E3-9099-C40C66FF867C}">
                  <a14:compatExt spid="_x0000_s9232"/>
                </a:ext>
                <a:ext uri="{FF2B5EF4-FFF2-40B4-BE49-F238E27FC236}">
                  <a16:creationId xmlns:a16="http://schemas.microsoft.com/office/drawing/2014/main" id="{00000000-0008-0000-0800-000010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9525</xdr:rowOff>
        </xdr:from>
        <xdr:to>
          <xdr:col>2</xdr:col>
          <xdr:colOff>1781175</xdr:colOff>
          <xdr:row>20</xdr:row>
          <xdr:rowOff>47625</xdr:rowOff>
        </xdr:to>
        <xdr:sp macro="" textlink="">
          <xdr:nvSpPr>
            <xdr:cNvPr id="9233" name="Drop Down 17" hidden="1">
              <a:extLst>
                <a:ext uri="{63B3BB69-23CF-44E3-9099-C40C66FF867C}">
                  <a14:compatExt spid="_x0000_s9233"/>
                </a:ext>
                <a:ext uri="{FF2B5EF4-FFF2-40B4-BE49-F238E27FC236}">
                  <a16:creationId xmlns:a16="http://schemas.microsoft.com/office/drawing/2014/main" id="{00000000-0008-0000-0800-000011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9525</xdr:rowOff>
        </xdr:from>
        <xdr:to>
          <xdr:col>3</xdr:col>
          <xdr:colOff>0</xdr:colOff>
          <xdr:row>20</xdr:row>
          <xdr:rowOff>28575</xdr:rowOff>
        </xdr:to>
        <xdr:sp macro="" textlink="">
          <xdr:nvSpPr>
            <xdr:cNvPr id="9234" name="Drop Down 18" hidden="1">
              <a:extLst>
                <a:ext uri="{63B3BB69-23CF-44E3-9099-C40C66FF867C}">
                  <a14:compatExt spid="_x0000_s9234"/>
                </a:ext>
                <a:ext uri="{FF2B5EF4-FFF2-40B4-BE49-F238E27FC236}">
                  <a16:creationId xmlns:a16="http://schemas.microsoft.com/office/drawing/2014/main" id="{00000000-0008-0000-0800-000012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9525</xdr:rowOff>
        </xdr:from>
        <xdr:to>
          <xdr:col>2</xdr:col>
          <xdr:colOff>1781175</xdr:colOff>
          <xdr:row>21</xdr:row>
          <xdr:rowOff>47625</xdr:rowOff>
        </xdr:to>
        <xdr:sp macro="" textlink="">
          <xdr:nvSpPr>
            <xdr:cNvPr id="9235" name="Drop Down 19" hidden="1">
              <a:extLst>
                <a:ext uri="{63B3BB69-23CF-44E3-9099-C40C66FF867C}">
                  <a14:compatExt spid="_x0000_s9235"/>
                </a:ext>
                <a:ext uri="{FF2B5EF4-FFF2-40B4-BE49-F238E27FC236}">
                  <a16:creationId xmlns:a16="http://schemas.microsoft.com/office/drawing/2014/main" id="{00000000-0008-0000-0800-000013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9525</xdr:rowOff>
        </xdr:from>
        <xdr:to>
          <xdr:col>3</xdr:col>
          <xdr:colOff>0</xdr:colOff>
          <xdr:row>21</xdr:row>
          <xdr:rowOff>28575</xdr:rowOff>
        </xdr:to>
        <xdr:sp macro="" textlink="">
          <xdr:nvSpPr>
            <xdr:cNvPr id="9236" name="Drop Down 20" hidden="1">
              <a:extLst>
                <a:ext uri="{63B3BB69-23CF-44E3-9099-C40C66FF867C}">
                  <a14:compatExt spid="_x0000_s9236"/>
                </a:ext>
                <a:ext uri="{FF2B5EF4-FFF2-40B4-BE49-F238E27FC236}">
                  <a16:creationId xmlns:a16="http://schemas.microsoft.com/office/drawing/2014/main" id="{00000000-0008-0000-0800-000014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9525</xdr:rowOff>
        </xdr:from>
        <xdr:to>
          <xdr:col>2</xdr:col>
          <xdr:colOff>1781175</xdr:colOff>
          <xdr:row>22</xdr:row>
          <xdr:rowOff>47625</xdr:rowOff>
        </xdr:to>
        <xdr:sp macro="" textlink="">
          <xdr:nvSpPr>
            <xdr:cNvPr id="9237" name="Drop Down 21" hidden="1">
              <a:extLst>
                <a:ext uri="{63B3BB69-23CF-44E3-9099-C40C66FF867C}">
                  <a14:compatExt spid="_x0000_s9237"/>
                </a:ext>
                <a:ext uri="{FF2B5EF4-FFF2-40B4-BE49-F238E27FC236}">
                  <a16:creationId xmlns:a16="http://schemas.microsoft.com/office/drawing/2014/main" id="{00000000-0008-0000-0800-000015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9525</xdr:rowOff>
        </xdr:from>
        <xdr:to>
          <xdr:col>2</xdr:col>
          <xdr:colOff>1781175</xdr:colOff>
          <xdr:row>22</xdr:row>
          <xdr:rowOff>47625</xdr:rowOff>
        </xdr:to>
        <xdr:sp macro="" textlink="">
          <xdr:nvSpPr>
            <xdr:cNvPr id="9238" name="Drop Down 22" hidden="1">
              <a:extLst>
                <a:ext uri="{63B3BB69-23CF-44E3-9099-C40C66FF867C}">
                  <a14:compatExt spid="_x0000_s9238"/>
                </a:ext>
                <a:ext uri="{FF2B5EF4-FFF2-40B4-BE49-F238E27FC236}">
                  <a16:creationId xmlns:a16="http://schemas.microsoft.com/office/drawing/2014/main" id="{00000000-0008-0000-0800-000016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9525</xdr:rowOff>
        </xdr:from>
        <xdr:to>
          <xdr:col>3</xdr:col>
          <xdr:colOff>0</xdr:colOff>
          <xdr:row>5</xdr:row>
          <xdr:rowOff>28575</xdr:rowOff>
        </xdr:to>
        <xdr:sp macro="" textlink="">
          <xdr:nvSpPr>
            <xdr:cNvPr id="9240" name="Drop Down 24" hidden="1">
              <a:extLst>
                <a:ext uri="{63B3BB69-23CF-44E3-9099-C40C66FF867C}">
                  <a14:compatExt spid="_x0000_s9240"/>
                </a:ext>
                <a:ext uri="{FF2B5EF4-FFF2-40B4-BE49-F238E27FC236}">
                  <a16:creationId xmlns:a16="http://schemas.microsoft.com/office/drawing/2014/main" id="{00000000-0008-0000-0800-000018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9525</xdr:rowOff>
        </xdr:from>
        <xdr:to>
          <xdr:col>3</xdr:col>
          <xdr:colOff>0</xdr:colOff>
          <xdr:row>6</xdr:row>
          <xdr:rowOff>28575</xdr:rowOff>
        </xdr:to>
        <xdr:sp macro="" textlink="">
          <xdr:nvSpPr>
            <xdr:cNvPr id="9241" name="Drop Down 25" hidden="1">
              <a:extLst>
                <a:ext uri="{63B3BB69-23CF-44E3-9099-C40C66FF867C}">
                  <a14:compatExt spid="_x0000_s9241"/>
                </a:ext>
                <a:ext uri="{FF2B5EF4-FFF2-40B4-BE49-F238E27FC236}">
                  <a16:creationId xmlns:a16="http://schemas.microsoft.com/office/drawing/2014/main" id="{00000000-0008-0000-0800-000019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9525</xdr:rowOff>
        </xdr:from>
        <xdr:to>
          <xdr:col>2</xdr:col>
          <xdr:colOff>1781175</xdr:colOff>
          <xdr:row>22</xdr:row>
          <xdr:rowOff>47625</xdr:rowOff>
        </xdr:to>
        <xdr:sp macro="" textlink="">
          <xdr:nvSpPr>
            <xdr:cNvPr id="9242" name="Drop Down 26" hidden="1">
              <a:extLst>
                <a:ext uri="{63B3BB69-23CF-44E3-9099-C40C66FF867C}">
                  <a14:compatExt spid="_x0000_s9242"/>
                </a:ext>
                <a:ext uri="{FF2B5EF4-FFF2-40B4-BE49-F238E27FC236}">
                  <a16:creationId xmlns:a16="http://schemas.microsoft.com/office/drawing/2014/main" id="{00000000-0008-0000-0800-00001A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9525</xdr:rowOff>
        </xdr:from>
        <xdr:to>
          <xdr:col>3</xdr:col>
          <xdr:colOff>0</xdr:colOff>
          <xdr:row>22</xdr:row>
          <xdr:rowOff>28575</xdr:rowOff>
        </xdr:to>
        <xdr:sp macro="" textlink="">
          <xdr:nvSpPr>
            <xdr:cNvPr id="9243" name="Drop Down 27" hidden="1">
              <a:extLst>
                <a:ext uri="{63B3BB69-23CF-44E3-9099-C40C66FF867C}">
                  <a14:compatExt spid="_x0000_s9243"/>
                </a:ext>
                <a:ext uri="{FF2B5EF4-FFF2-40B4-BE49-F238E27FC236}">
                  <a16:creationId xmlns:a16="http://schemas.microsoft.com/office/drawing/2014/main" id="{00000000-0008-0000-0800-00001B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9525</xdr:rowOff>
        </xdr:from>
        <xdr:to>
          <xdr:col>3</xdr:col>
          <xdr:colOff>0</xdr:colOff>
          <xdr:row>23</xdr:row>
          <xdr:rowOff>28575</xdr:rowOff>
        </xdr:to>
        <xdr:sp macro="" textlink="">
          <xdr:nvSpPr>
            <xdr:cNvPr id="9245" name="Drop Down 29" hidden="1">
              <a:extLst>
                <a:ext uri="{63B3BB69-23CF-44E3-9099-C40C66FF867C}">
                  <a14:compatExt spid="_x0000_s9245"/>
                </a:ext>
                <a:ext uri="{FF2B5EF4-FFF2-40B4-BE49-F238E27FC236}">
                  <a16:creationId xmlns:a16="http://schemas.microsoft.com/office/drawing/2014/main" id="{00000000-0008-0000-0800-00001D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xdr:twoCellAnchor editAs="oneCell">
    <xdr:from>
      <xdr:col>58</xdr:col>
      <xdr:colOff>489189</xdr:colOff>
      <xdr:row>0</xdr:row>
      <xdr:rowOff>39688</xdr:rowOff>
    </xdr:from>
    <xdr:to>
      <xdr:col>62</xdr:col>
      <xdr:colOff>0</xdr:colOff>
      <xdr:row>0</xdr:row>
      <xdr:rowOff>399688</xdr:rowOff>
    </xdr:to>
    <xdr:pic>
      <xdr:nvPicPr>
        <xdr:cNvPr id="3" name="Grafik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28675252" y="39688"/>
          <a:ext cx="1772998" cy="36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LGW\Landwirtschaftlicher_Betrieb\Viehhaltung\Futter\Analysen\Analysen_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fassung"/>
      <sheetName val="Zusammenstellung"/>
      <sheetName val="Transfer"/>
    </sheetNames>
    <sheetDataSet>
      <sheetData sheetId="0">
        <row r="13">
          <cell r="B13" t="str">
            <v>Futter</v>
          </cell>
          <cell r="C13" t="str">
            <v>Probe</v>
          </cell>
          <cell r="D13" t="str">
            <v>E.Jahr</v>
          </cell>
          <cell r="E13" t="str">
            <v>TS</v>
          </cell>
          <cell r="F13" t="str">
            <v>XP</v>
          </cell>
          <cell r="G13" t="str">
            <v>XF</v>
          </cell>
          <cell r="H13" t="str">
            <v>XL</v>
          </cell>
          <cell r="I13" t="str">
            <v>XA</v>
          </cell>
          <cell r="J13" t="str">
            <v>ADF</v>
          </cell>
          <cell r="K13" t="str">
            <v>NDF</v>
          </cell>
          <cell r="L13" t="str">
            <v>P</v>
          </cell>
          <cell r="M13" t="str">
            <v>K</v>
          </cell>
          <cell r="N13" t="str">
            <v>Ca</v>
          </cell>
          <cell r="O13" t="str">
            <v>Na</v>
          </cell>
          <cell r="P13" t="str">
            <v>Mg</v>
          </cell>
          <cell r="Q13" t="str">
            <v>UDP</v>
          </cell>
          <cell r="R13" t="str">
            <v>nXP</v>
          </cell>
          <cell r="S13" t="str">
            <v>ME</v>
          </cell>
          <cell r="T13" t="str">
            <v>NEL</v>
          </cell>
          <cell r="U13" t="str">
            <v>SW</v>
          </cell>
          <cell r="V13" t="str">
            <v>XZ</v>
          </cell>
          <cell r="W13" t="str">
            <v>RNB</v>
          </cell>
          <cell r="X13" t="str">
            <v>NFC</v>
          </cell>
          <cell r="Y13" t="str">
            <v>Spalte1</v>
          </cell>
        </row>
        <row r="14">
          <cell r="B14" t="str">
            <v>Rohglycerin</v>
          </cell>
          <cell r="C14" t="str">
            <v>00001</v>
          </cell>
          <cell r="D14" t="str">
            <v>2013</v>
          </cell>
          <cell r="E14">
            <v>88</v>
          </cell>
          <cell r="F14">
            <v>0</v>
          </cell>
          <cell r="G14">
            <v>0</v>
          </cell>
          <cell r="H14">
            <v>95</v>
          </cell>
          <cell r="I14">
            <v>20</v>
          </cell>
          <cell r="J14">
            <v>0</v>
          </cell>
          <cell r="K14">
            <v>0</v>
          </cell>
          <cell r="S14">
            <v>0</v>
          </cell>
          <cell r="W14">
            <v>0</v>
          </cell>
          <cell r="X14">
            <v>885</v>
          </cell>
          <cell r="Y14">
            <v>0</v>
          </cell>
        </row>
        <row r="15">
          <cell r="B15" t="str">
            <v>Silo 2</v>
          </cell>
          <cell r="C15" t="str">
            <v>00002</v>
          </cell>
          <cell r="D15">
            <v>2013</v>
          </cell>
          <cell r="E15">
            <v>47.4</v>
          </cell>
          <cell r="S15">
            <v>0</v>
          </cell>
          <cell r="W15">
            <v>0</v>
          </cell>
          <cell r="X15">
            <v>1000</v>
          </cell>
          <cell r="Y15">
            <v>0</v>
          </cell>
        </row>
        <row r="16">
          <cell r="B16" t="str">
            <v>Treber</v>
          </cell>
          <cell r="C16">
            <v>18242</v>
          </cell>
          <cell r="D16">
            <v>2014</v>
          </cell>
          <cell r="E16">
            <v>23.2</v>
          </cell>
          <cell r="F16">
            <v>264</v>
          </cell>
          <cell r="G16">
            <v>194</v>
          </cell>
          <cell r="H16">
            <v>73</v>
          </cell>
          <cell r="I16">
            <v>41</v>
          </cell>
          <cell r="J16">
            <v>268</v>
          </cell>
          <cell r="K16">
            <v>547</v>
          </cell>
          <cell r="L16">
            <v>9.6</v>
          </cell>
          <cell r="M16">
            <v>2.2000000000000002</v>
          </cell>
          <cell r="N16">
            <v>6.6</v>
          </cell>
          <cell r="O16">
            <v>0.2</v>
          </cell>
          <cell r="P16">
            <v>2</v>
          </cell>
          <cell r="R16">
            <v>212</v>
          </cell>
          <cell r="S16">
            <v>0</v>
          </cell>
          <cell r="T16">
            <v>6.65</v>
          </cell>
          <cell r="W16">
            <v>8.32</v>
          </cell>
          <cell r="X16">
            <v>75</v>
          </cell>
          <cell r="Y16">
            <v>0</v>
          </cell>
        </row>
        <row r="17">
          <cell r="B17" t="str">
            <v>Heu, 2. S.</v>
          </cell>
          <cell r="C17">
            <v>80583</v>
          </cell>
          <cell r="D17">
            <v>2011</v>
          </cell>
          <cell r="E17">
            <v>86.3</v>
          </cell>
          <cell r="F17">
            <v>141</v>
          </cell>
          <cell r="G17">
            <v>297</v>
          </cell>
          <cell r="H17">
            <v>26</v>
          </cell>
          <cell r="I17">
            <v>98</v>
          </cell>
          <cell r="J17">
            <v>317</v>
          </cell>
          <cell r="K17">
            <v>554</v>
          </cell>
          <cell r="L17">
            <v>4.5</v>
          </cell>
          <cell r="M17">
            <v>30</v>
          </cell>
          <cell r="N17">
            <v>5.8</v>
          </cell>
          <cell r="O17">
            <v>3.2</v>
          </cell>
          <cell r="P17">
            <v>2.1</v>
          </cell>
          <cell r="R17">
            <v>133</v>
          </cell>
          <cell r="S17">
            <v>0</v>
          </cell>
          <cell r="T17">
            <v>5.59</v>
          </cell>
          <cell r="U17">
            <v>3.4740000000000002</v>
          </cell>
          <cell r="W17">
            <v>1.28</v>
          </cell>
          <cell r="X17">
            <v>181</v>
          </cell>
          <cell r="Y17">
            <v>0</v>
          </cell>
        </row>
        <row r="18">
          <cell r="B18" t="str">
            <v>Heu, 2. S.</v>
          </cell>
          <cell r="C18">
            <v>80583</v>
          </cell>
          <cell r="D18">
            <v>2011</v>
          </cell>
          <cell r="E18">
            <v>86.3</v>
          </cell>
          <cell r="F18">
            <v>141</v>
          </cell>
          <cell r="G18">
            <v>297</v>
          </cell>
          <cell r="H18">
            <v>26</v>
          </cell>
          <cell r="I18">
            <v>98</v>
          </cell>
          <cell r="J18">
            <v>317</v>
          </cell>
          <cell r="K18">
            <v>554</v>
          </cell>
          <cell r="L18">
            <v>4.5</v>
          </cell>
          <cell r="M18">
            <v>30</v>
          </cell>
          <cell r="N18">
            <v>5.8</v>
          </cell>
          <cell r="O18">
            <v>1.6</v>
          </cell>
          <cell r="P18">
            <v>2.1</v>
          </cell>
          <cell r="R18">
            <v>133</v>
          </cell>
          <cell r="S18">
            <v>0</v>
          </cell>
          <cell r="T18">
            <v>5.59</v>
          </cell>
          <cell r="U18">
            <v>3.4740000000000002</v>
          </cell>
          <cell r="W18">
            <v>1.28</v>
          </cell>
          <cell r="X18">
            <v>181</v>
          </cell>
          <cell r="Y18">
            <v>0</v>
          </cell>
        </row>
        <row r="19">
          <cell r="B19" t="str">
            <v>Silo 5</v>
          </cell>
          <cell r="C19">
            <v>80593</v>
          </cell>
          <cell r="D19">
            <v>2011</v>
          </cell>
          <cell r="E19">
            <v>33.200000000000003</v>
          </cell>
          <cell r="F19">
            <v>174</v>
          </cell>
          <cell r="G19">
            <v>232</v>
          </cell>
          <cell r="H19">
            <v>38</v>
          </cell>
          <cell r="I19">
            <v>111</v>
          </cell>
          <cell r="J19">
            <v>236</v>
          </cell>
          <cell r="K19">
            <v>384</v>
          </cell>
          <cell r="L19">
            <v>5.0999999999999996</v>
          </cell>
          <cell r="M19">
            <v>34</v>
          </cell>
          <cell r="N19">
            <v>5.9</v>
          </cell>
          <cell r="O19">
            <v>1.5</v>
          </cell>
          <cell r="P19">
            <v>2.1</v>
          </cell>
          <cell r="R19">
            <v>148</v>
          </cell>
          <cell r="S19">
            <v>0</v>
          </cell>
          <cell r="T19">
            <v>6.78</v>
          </cell>
          <cell r="U19">
            <v>2.4540000000000002</v>
          </cell>
          <cell r="V19">
            <v>67</v>
          </cell>
          <cell r="W19">
            <v>4.16</v>
          </cell>
          <cell r="X19">
            <v>293</v>
          </cell>
          <cell r="Y19">
            <v>0</v>
          </cell>
        </row>
        <row r="20">
          <cell r="B20" t="str">
            <v>Silo 7</v>
          </cell>
          <cell r="C20">
            <v>80594</v>
          </cell>
          <cell r="D20">
            <v>2011</v>
          </cell>
          <cell r="E20">
            <v>37.1</v>
          </cell>
          <cell r="F20">
            <v>136</v>
          </cell>
          <cell r="G20">
            <v>276</v>
          </cell>
          <cell r="H20">
            <v>31</v>
          </cell>
          <cell r="I20">
            <v>105</v>
          </cell>
          <cell r="J20">
            <v>299</v>
          </cell>
          <cell r="K20">
            <v>489</v>
          </cell>
          <cell r="L20">
            <v>4.0999999999999996</v>
          </cell>
          <cell r="M20">
            <v>23</v>
          </cell>
          <cell r="N20">
            <v>5.9</v>
          </cell>
          <cell r="O20">
            <v>1.8</v>
          </cell>
          <cell r="P20">
            <v>2.2999999999999998</v>
          </cell>
          <cell r="R20">
            <v>127</v>
          </cell>
          <cell r="S20">
            <v>0</v>
          </cell>
          <cell r="T20">
            <v>5.74</v>
          </cell>
          <cell r="U20">
            <v>3.0840000000000001</v>
          </cell>
          <cell r="V20">
            <v>63</v>
          </cell>
          <cell r="W20">
            <v>1.44</v>
          </cell>
          <cell r="X20">
            <v>239</v>
          </cell>
          <cell r="Y20">
            <v>0</v>
          </cell>
        </row>
        <row r="21">
          <cell r="B21" t="str">
            <v>Silo 9</v>
          </cell>
          <cell r="C21">
            <v>80595</v>
          </cell>
          <cell r="D21">
            <v>2011</v>
          </cell>
          <cell r="E21">
            <v>51.4</v>
          </cell>
          <cell r="F21">
            <v>138</v>
          </cell>
          <cell r="G21">
            <v>300</v>
          </cell>
          <cell r="H21">
            <v>27</v>
          </cell>
          <cell r="I21">
            <v>118</v>
          </cell>
          <cell r="J21">
            <v>300</v>
          </cell>
          <cell r="K21">
            <v>473</v>
          </cell>
          <cell r="L21">
            <v>3.9</v>
          </cell>
          <cell r="M21">
            <v>26</v>
          </cell>
          <cell r="N21">
            <v>6.3</v>
          </cell>
          <cell r="O21">
            <v>0.6</v>
          </cell>
          <cell r="P21">
            <v>2.6</v>
          </cell>
          <cell r="R21">
            <v>124</v>
          </cell>
          <cell r="S21">
            <v>0</v>
          </cell>
          <cell r="T21">
            <v>5.56</v>
          </cell>
          <cell r="U21">
            <v>2.988</v>
          </cell>
          <cell r="V21">
            <v>94</v>
          </cell>
          <cell r="W21">
            <v>2.2400000000000002</v>
          </cell>
          <cell r="X21">
            <v>244</v>
          </cell>
          <cell r="Y21">
            <v>0</v>
          </cell>
        </row>
        <row r="22">
          <cell r="B22" t="str">
            <v>Heu, 2. S.</v>
          </cell>
          <cell r="C22">
            <v>80600</v>
          </cell>
          <cell r="D22">
            <v>2011</v>
          </cell>
          <cell r="E22">
            <v>90.3</v>
          </cell>
          <cell r="F22">
            <v>141</v>
          </cell>
          <cell r="G22">
            <v>269</v>
          </cell>
          <cell r="H22">
            <v>30</v>
          </cell>
          <cell r="I22">
            <v>111</v>
          </cell>
          <cell r="J22">
            <v>302</v>
          </cell>
          <cell r="K22">
            <v>491</v>
          </cell>
          <cell r="L22">
            <v>5.5</v>
          </cell>
          <cell r="M22">
            <v>36</v>
          </cell>
          <cell r="N22">
            <v>6</v>
          </cell>
          <cell r="O22">
            <v>1.2</v>
          </cell>
          <cell r="P22">
            <v>2</v>
          </cell>
          <cell r="R22">
            <v>138</v>
          </cell>
          <cell r="S22">
            <v>0</v>
          </cell>
          <cell r="T22">
            <v>5.94</v>
          </cell>
          <cell r="U22">
            <v>3.0960000000000001</v>
          </cell>
          <cell r="W22">
            <v>0.48</v>
          </cell>
          <cell r="X22">
            <v>227</v>
          </cell>
          <cell r="Y22">
            <v>0</v>
          </cell>
        </row>
        <row r="23">
          <cell r="B23" t="str">
            <v>Silo 9</v>
          </cell>
          <cell r="C23">
            <v>80602</v>
          </cell>
          <cell r="D23">
            <v>2011</v>
          </cell>
          <cell r="E23">
            <v>49.2</v>
          </cell>
          <cell r="F23">
            <v>134</v>
          </cell>
          <cell r="G23">
            <v>303</v>
          </cell>
          <cell r="H23">
            <v>32</v>
          </cell>
          <cell r="I23">
            <v>113</v>
          </cell>
          <cell r="J23">
            <v>321</v>
          </cell>
          <cell r="K23">
            <v>507</v>
          </cell>
          <cell r="L23">
            <v>4.9000000000000004</v>
          </cell>
          <cell r="M23">
            <v>24</v>
          </cell>
          <cell r="N23">
            <v>6</v>
          </cell>
          <cell r="O23">
            <v>0.5</v>
          </cell>
          <cell r="P23">
            <v>2</v>
          </cell>
          <cell r="R23">
            <v>125</v>
          </cell>
          <cell r="S23">
            <v>0</v>
          </cell>
          <cell r="T23">
            <v>5.65</v>
          </cell>
          <cell r="U23">
            <v>3.1920000000000002</v>
          </cell>
          <cell r="W23">
            <v>1.44</v>
          </cell>
          <cell r="X23">
            <v>214</v>
          </cell>
          <cell r="Y23">
            <v>0</v>
          </cell>
        </row>
        <row r="24">
          <cell r="B24" t="str">
            <v>Silo 9</v>
          </cell>
          <cell r="C24">
            <v>80605</v>
          </cell>
          <cell r="D24">
            <v>2011</v>
          </cell>
          <cell r="E24">
            <v>49.8</v>
          </cell>
          <cell r="F24">
            <v>117</v>
          </cell>
          <cell r="G24">
            <v>262</v>
          </cell>
          <cell r="H24">
            <v>31</v>
          </cell>
          <cell r="I24">
            <v>145</v>
          </cell>
          <cell r="J24">
            <v>295</v>
          </cell>
          <cell r="K24">
            <v>462</v>
          </cell>
          <cell r="L24">
            <v>4.2</v>
          </cell>
          <cell r="M24">
            <v>24</v>
          </cell>
          <cell r="N24">
            <v>6.3</v>
          </cell>
          <cell r="O24">
            <v>0.5</v>
          </cell>
          <cell r="P24">
            <v>2.5</v>
          </cell>
          <cell r="R24">
            <v>124</v>
          </cell>
          <cell r="S24">
            <v>0</v>
          </cell>
          <cell r="T24">
            <v>5.81</v>
          </cell>
          <cell r="U24">
            <v>2.9220000000000002</v>
          </cell>
          <cell r="W24">
            <v>-1.1200000000000001</v>
          </cell>
          <cell r="X24">
            <v>245</v>
          </cell>
          <cell r="Y24">
            <v>0</v>
          </cell>
        </row>
        <row r="25">
          <cell r="B25" t="str">
            <v>Heu, 2. S.</v>
          </cell>
          <cell r="C25">
            <v>80610</v>
          </cell>
          <cell r="D25">
            <v>2011</v>
          </cell>
          <cell r="E25">
            <v>87.7</v>
          </cell>
          <cell r="F25">
            <v>127</v>
          </cell>
          <cell r="G25">
            <v>272</v>
          </cell>
          <cell r="H25">
            <v>29</v>
          </cell>
          <cell r="I25">
            <v>89</v>
          </cell>
          <cell r="J25">
            <v>298</v>
          </cell>
          <cell r="K25">
            <v>495</v>
          </cell>
          <cell r="L25">
            <v>5.0999999999999996</v>
          </cell>
          <cell r="M25">
            <v>22</v>
          </cell>
          <cell r="N25">
            <v>5.2</v>
          </cell>
          <cell r="O25">
            <v>1.3</v>
          </cell>
          <cell r="P25">
            <v>2.5</v>
          </cell>
          <cell r="R25">
            <v>135</v>
          </cell>
          <cell r="S25">
            <v>0</v>
          </cell>
          <cell r="T25">
            <v>5.91</v>
          </cell>
          <cell r="U25">
            <v>3.12</v>
          </cell>
          <cell r="W25">
            <v>-1.28</v>
          </cell>
          <cell r="X25">
            <v>260</v>
          </cell>
          <cell r="Y25">
            <v>0</v>
          </cell>
        </row>
        <row r="26">
          <cell r="B26" t="str">
            <v>WGM 30/35/35</v>
          </cell>
          <cell r="C26">
            <v>80611</v>
          </cell>
          <cell r="D26">
            <v>2011</v>
          </cell>
          <cell r="E26">
            <v>89.1</v>
          </cell>
          <cell r="F26">
            <v>123</v>
          </cell>
          <cell r="G26">
            <v>39</v>
          </cell>
          <cell r="H26">
            <v>36</v>
          </cell>
          <cell r="I26">
            <v>24</v>
          </cell>
          <cell r="J26">
            <v>46</v>
          </cell>
          <cell r="K26">
            <v>294</v>
          </cell>
          <cell r="L26">
            <v>5.3</v>
          </cell>
          <cell r="M26">
            <v>7</v>
          </cell>
          <cell r="N26">
            <v>0.7</v>
          </cell>
          <cell r="O26">
            <v>0.1</v>
          </cell>
          <cell r="P26">
            <v>1.5</v>
          </cell>
          <cell r="R26">
            <v>174</v>
          </cell>
          <cell r="S26">
            <v>0</v>
          </cell>
          <cell r="T26">
            <v>9</v>
          </cell>
          <cell r="W26">
            <v>-8.16</v>
          </cell>
          <cell r="X26">
            <v>523</v>
          </cell>
          <cell r="Y26">
            <v>0</v>
          </cell>
        </row>
        <row r="27">
          <cell r="B27" t="str">
            <v>RES</v>
          </cell>
          <cell r="C27">
            <v>80612</v>
          </cell>
          <cell r="D27" t="str">
            <v>2011a</v>
          </cell>
          <cell r="E27">
            <v>88.6</v>
          </cell>
          <cell r="F27">
            <v>374</v>
          </cell>
          <cell r="G27">
            <v>150</v>
          </cell>
          <cell r="H27">
            <v>26</v>
          </cell>
          <cell r="I27">
            <v>78</v>
          </cell>
          <cell r="J27">
            <v>244</v>
          </cell>
          <cell r="K27">
            <v>368</v>
          </cell>
          <cell r="L27">
            <v>15.6</v>
          </cell>
          <cell r="M27">
            <v>15</v>
          </cell>
          <cell r="N27">
            <v>7</v>
          </cell>
          <cell r="O27">
            <v>0.5</v>
          </cell>
          <cell r="P27">
            <v>4.9000000000000004</v>
          </cell>
          <cell r="R27">
            <v>279</v>
          </cell>
          <cell r="S27">
            <v>0</v>
          </cell>
          <cell r="T27">
            <v>7.31</v>
          </cell>
          <cell r="U27">
            <v>0.36</v>
          </cell>
          <cell r="W27">
            <v>15.2</v>
          </cell>
          <cell r="X27">
            <v>154</v>
          </cell>
          <cell r="Y27">
            <v>0</v>
          </cell>
        </row>
        <row r="28">
          <cell r="B28" t="str">
            <v>Silo 9</v>
          </cell>
          <cell r="C28">
            <v>80614</v>
          </cell>
          <cell r="D28">
            <v>2011</v>
          </cell>
          <cell r="E28">
            <v>42.6</v>
          </cell>
          <cell r="F28">
            <v>116</v>
          </cell>
          <cell r="G28">
            <v>308</v>
          </cell>
          <cell r="H28">
            <v>28</v>
          </cell>
          <cell r="I28">
            <v>112</v>
          </cell>
          <cell r="J28">
            <v>340</v>
          </cell>
          <cell r="K28">
            <v>501</v>
          </cell>
          <cell r="L28">
            <v>4.5999999999999996</v>
          </cell>
          <cell r="M28">
            <v>26</v>
          </cell>
          <cell r="N28">
            <v>6.6</v>
          </cell>
          <cell r="O28">
            <v>0.5</v>
          </cell>
          <cell r="P28">
            <v>2.4</v>
          </cell>
          <cell r="R28">
            <v>115</v>
          </cell>
          <cell r="S28">
            <v>0</v>
          </cell>
          <cell r="T28">
            <v>5.22</v>
          </cell>
          <cell r="U28">
            <v>3.1560000000000001</v>
          </cell>
          <cell r="W28">
            <v>0.16</v>
          </cell>
          <cell r="X28">
            <v>243</v>
          </cell>
          <cell r="Y28">
            <v>0</v>
          </cell>
        </row>
        <row r="29">
          <cell r="B29" t="str">
            <v>Silo 3</v>
          </cell>
          <cell r="C29">
            <v>80615</v>
          </cell>
          <cell r="D29">
            <v>2011</v>
          </cell>
          <cell r="E29">
            <v>37.299999999999997</v>
          </cell>
          <cell r="F29">
            <v>79</v>
          </cell>
          <cell r="G29">
            <v>179</v>
          </cell>
          <cell r="H29">
            <v>44</v>
          </cell>
          <cell r="I29">
            <v>43</v>
          </cell>
          <cell r="J29">
            <v>244</v>
          </cell>
          <cell r="K29">
            <v>342</v>
          </cell>
          <cell r="L29">
            <v>3.6</v>
          </cell>
          <cell r="M29">
            <v>11</v>
          </cell>
          <cell r="N29">
            <v>2.2999999999999998</v>
          </cell>
          <cell r="O29">
            <v>0.2</v>
          </cell>
          <cell r="P29">
            <v>1.7</v>
          </cell>
          <cell r="R29">
            <v>140</v>
          </cell>
          <cell r="S29">
            <v>0</v>
          </cell>
          <cell r="T29">
            <v>6.74</v>
          </cell>
          <cell r="U29">
            <v>1.5412800000000002</v>
          </cell>
          <cell r="V29">
            <v>2.1621621621621623</v>
          </cell>
          <cell r="W29">
            <v>-9.76</v>
          </cell>
          <cell r="X29">
            <v>492</v>
          </cell>
          <cell r="Y29">
            <v>0</v>
          </cell>
        </row>
        <row r="30">
          <cell r="B30" t="str">
            <v>Silo 6</v>
          </cell>
          <cell r="C30">
            <v>80616</v>
          </cell>
          <cell r="D30">
            <v>2011</v>
          </cell>
          <cell r="E30">
            <v>37.200000000000003</v>
          </cell>
          <cell r="F30">
            <v>77</v>
          </cell>
          <cell r="G30">
            <v>165</v>
          </cell>
          <cell r="H30">
            <v>41</v>
          </cell>
          <cell r="I30">
            <v>39</v>
          </cell>
          <cell r="J30">
            <v>258</v>
          </cell>
          <cell r="K30">
            <v>313</v>
          </cell>
          <cell r="L30">
            <v>3.4</v>
          </cell>
          <cell r="M30">
            <v>11</v>
          </cell>
          <cell r="N30">
            <v>1.8</v>
          </cell>
          <cell r="O30">
            <v>0.1</v>
          </cell>
          <cell r="P30">
            <v>1.6</v>
          </cell>
          <cell r="R30">
            <v>142</v>
          </cell>
          <cell r="S30">
            <v>0</v>
          </cell>
          <cell r="T30">
            <v>7.33</v>
          </cell>
          <cell r="U30">
            <v>1.3603200000000004</v>
          </cell>
          <cell r="V30">
            <v>1.0810810810810811</v>
          </cell>
          <cell r="W30">
            <v>-10.4</v>
          </cell>
          <cell r="X30">
            <v>530</v>
          </cell>
          <cell r="Y30">
            <v>0</v>
          </cell>
        </row>
        <row r="31">
          <cell r="B31" t="str">
            <v>Silo 8</v>
          </cell>
          <cell r="C31">
            <v>80617</v>
          </cell>
          <cell r="D31">
            <v>2011</v>
          </cell>
          <cell r="E31">
            <v>39</v>
          </cell>
          <cell r="F31">
            <v>75</v>
          </cell>
          <cell r="G31">
            <v>200</v>
          </cell>
          <cell r="H31">
            <v>43</v>
          </cell>
          <cell r="I31">
            <v>42</v>
          </cell>
          <cell r="J31">
            <v>248</v>
          </cell>
          <cell r="K31">
            <v>393</v>
          </cell>
          <cell r="L31">
            <v>3.6</v>
          </cell>
          <cell r="M31">
            <v>11</v>
          </cell>
          <cell r="N31">
            <v>2</v>
          </cell>
          <cell r="O31">
            <v>0.1</v>
          </cell>
          <cell r="P31">
            <v>1.7</v>
          </cell>
          <cell r="R31">
            <v>138</v>
          </cell>
          <cell r="S31">
            <v>0</v>
          </cell>
          <cell r="T31">
            <v>7.07</v>
          </cell>
          <cell r="U31">
            <v>1.8595200000000003</v>
          </cell>
          <cell r="V31">
            <v>1.8918918918918919</v>
          </cell>
          <cell r="W31">
            <v>-10.08</v>
          </cell>
          <cell r="X31">
            <v>447</v>
          </cell>
          <cell r="Y31">
            <v>0</v>
          </cell>
        </row>
        <row r="32">
          <cell r="B32" t="str">
            <v>Silo 9</v>
          </cell>
          <cell r="C32">
            <v>80620</v>
          </cell>
          <cell r="D32">
            <v>2011</v>
          </cell>
          <cell r="E32">
            <v>42.7</v>
          </cell>
          <cell r="F32">
            <v>118</v>
          </cell>
          <cell r="G32">
            <v>289</v>
          </cell>
          <cell r="H32">
            <v>27</v>
          </cell>
          <cell r="I32">
            <v>120</v>
          </cell>
          <cell r="J32">
            <v>353</v>
          </cell>
          <cell r="K32">
            <v>489</v>
          </cell>
          <cell r="L32">
            <v>4.5</v>
          </cell>
          <cell r="M32">
            <v>26</v>
          </cell>
          <cell r="N32">
            <v>5.8</v>
          </cell>
          <cell r="O32">
            <v>0.4</v>
          </cell>
          <cell r="P32">
            <v>2.2000000000000002</v>
          </cell>
          <cell r="R32">
            <v>115</v>
          </cell>
          <cell r="S32">
            <v>0</v>
          </cell>
          <cell r="T32">
            <v>5.19</v>
          </cell>
          <cell r="U32">
            <v>3.0840000000000001</v>
          </cell>
          <cell r="W32">
            <v>0.48</v>
          </cell>
          <cell r="X32">
            <v>246</v>
          </cell>
          <cell r="Y32">
            <v>0</v>
          </cell>
        </row>
        <row r="33">
          <cell r="B33" t="str">
            <v>Silo 9</v>
          </cell>
          <cell r="C33">
            <v>80620</v>
          </cell>
          <cell r="D33">
            <v>2011</v>
          </cell>
          <cell r="E33">
            <v>42.7</v>
          </cell>
          <cell r="F33">
            <v>118</v>
          </cell>
          <cell r="G33">
            <v>289</v>
          </cell>
          <cell r="H33">
            <v>27</v>
          </cell>
          <cell r="I33">
            <v>120</v>
          </cell>
          <cell r="J33">
            <v>353</v>
          </cell>
          <cell r="K33">
            <v>489</v>
          </cell>
          <cell r="L33">
            <v>4.5</v>
          </cell>
          <cell r="M33">
            <v>26</v>
          </cell>
          <cell r="N33">
            <v>5.8</v>
          </cell>
          <cell r="O33">
            <v>0.4</v>
          </cell>
          <cell r="P33">
            <v>2.2000000000000002</v>
          </cell>
          <cell r="R33">
            <v>115</v>
          </cell>
          <cell r="S33">
            <v>0</v>
          </cell>
          <cell r="T33">
            <v>5.19</v>
          </cell>
          <cell r="U33">
            <v>3.0840000000000001</v>
          </cell>
          <cell r="W33">
            <v>0.48</v>
          </cell>
          <cell r="X33">
            <v>246</v>
          </cell>
          <cell r="Y33">
            <v>0</v>
          </cell>
        </row>
        <row r="34">
          <cell r="B34" t="str">
            <v>Heu, 2. S.</v>
          </cell>
          <cell r="C34">
            <v>80621</v>
          </cell>
          <cell r="D34">
            <v>2011</v>
          </cell>
          <cell r="E34">
            <v>88.8</v>
          </cell>
          <cell r="F34">
            <v>119</v>
          </cell>
          <cell r="G34">
            <v>299</v>
          </cell>
          <cell r="H34">
            <v>26</v>
          </cell>
          <cell r="I34">
            <v>96</v>
          </cell>
          <cell r="J34">
            <v>355</v>
          </cell>
          <cell r="K34">
            <v>517</v>
          </cell>
          <cell r="L34">
            <v>4.3</v>
          </cell>
          <cell r="M34">
            <v>24</v>
          </cell>
          <cell r="N34">
            <v>5.2</v>
          </cell>
          <cell r="O34">
            <v>0.8</v>
          </cell>
          <cell r="P34">
            <v>2.4</v>
          </cell>
          <cell r="R34">
            <v>126</v>
          </cell>
          <cell r="S34">
            <v>0</v>
          </cell>
          <cell r="T34">
            <v>5.45</v>
          </cell>
          <cell r="U34">
            <v>3.2519999999999998</v>
          </cell>
          <cell r="W34">
            <v>-1.1200000000000001</v>
          </cell>
          <cell r="X34">
            <v>242</v>
          </cell>
          <cell r="Y34">
            <v>0</v>
          </cell>
        </row>
        <row r="35">
          <cell r="B35" t="str">
            <v>WGM 30/35/35</v>
          </cell>
          <cell r="C35">
            <v>80622</v>
          </cell>
          <cell r="D35">
            <v>2011</v>
          </cell>
          <cell r="E35">
            <v>88.8</v>
          </cell>
          <cell r="F35">
            <v>126</v>
          </cell>
          <cell r="G35">
            <v>48</v>
          </cell>
          <cell r="H35">
            <v>36</v>
          </cell>
          <cell r="I35">
            <v>27</v>
          </cell>
          <cell r="J35">
            <v>94</v>
          </cell>
          <cell r="K35">
            <v>323</v>
          </cell>
          <cell r="L35">
            <v>5.6</v>
          </cell>
          <cell r="M35">
            <v>7</v>
          </cell>
          <cell r="N35">
            <v>1</v>
          </cell>
          <cell r="O35">
            <v>0.1</v>
          </cell>
          <cell r="P35">
            <v>1.8</v>
          </cell>
          <cell r="R35">
            <v>168</v>
          </cell>
          <cell r="S35">
            <v>0</v>
          </cell>
          <cell r="T35">
            <v>8.58</v>
          </cell>
          <cell r="W35">
            <v>-6.72</v>
          </cell>
          <cell r="X35">
            <v>488</v>
          </cell>
          <cell r="Y35">
            <v>0</v>
          </cell>
        </row>
        <row r="36">
          <cell r="B36" t="str">
            <v>RES</v>
          </cell>
          <cell r="C36">
            <v>80623</v>
          </cell>
          <cell r="D36" t="str">
            <v>2011a</v>
          </cell>
          <cell r="E36">
            <v>89.1</v>
          </cell>
          <cell r="F36">
            <v>409</v>
          </cell>
          <cell r="G36">
            <v>119</v>
          </cell>
          <cell r="H36">
            <v>22</v>
          </cell>
          <cell r="I36">
            <v>79</v>
          </cell>
          <cell r="J36">
            <v>238</v>
          </cell>
          <cell r="K36">
            <v>315</v>
          </cell>
          <cell r="L36">
            <v>16.8</v>
          </cell>
          <cell r="M36">
            <v>15</v>
          </cell>
          <cell r="N36">
            <v>7.3</v>
          </cell>
          <cell r="O36">
            <v>1</v>
          </cell>
          <cell r="P36">
            <v>5.5</v>
          </cell>
          <cell r="R36">
            <v>296</v>
          </cell>
          <cell r="S36">
            <v>0</v>
          </cell>
          <cell r="T36">
            <v>7.33</v>
          </cell>
          <cell r="W36">
            <v>18.079999999999998</v>
          </cell>
          <cell r="X36">
            <v>175</v>
          </cell>
          <cell r="Y36">
            <v>0</v>
          </cell>
        </row>
        <row r="37">
          <cell r="B37" t="str">
            <v>Silo 9</v>
          </cell>
          <cell r="C37">
            <v>80626</v>
          </cell>
          <cell r="D37">
            <v>2011</v>
          </cell>
          <cell r="E37">
            <v>41.4</v>
          </cell>
          <cell r="F37">
            <v>129</v>
          </cell>
          <cell r="G37">
            <v>327</v>
          </cell>
          <cell r="H37">
            <v>27</v>
          </cell>
          <cell r="I37">
            <v>105</v>
          </cell>
          <cell r="J37">
            <v>346</v>
          </cell>
          <cell r="K37">
            <v>522</v>
          </cell>
          <cell r="L37">
            <v>5.6</v>
          </cell>
          <cell r="M37">
            <v>28</v>
          </cell>
          <cell r="N37">
            <v>6.4</v>
          </cell>
          <cell r="O37">
            <v>0.2</v>
          </cell>
          <cell r="P37">
            <v>2</v>
          </cell>
          <cell r="R37">
            <v>120</v>
          </cell>
          <cell r="S37">
            <v>0</v>
          </cell>
          <cell r="T37">
            <v>5.37</v>
          </cell>
          <cell r="U37">
            <v>3.282</v>
          </cell>
          <cell r="W37">
            <v>1.44</v>
          </cell>
          <cell r="X37">
            <v>217</v>
          </cell>
          <cell r="Y37">
            <v>0</v>
          </cell>
        </row>
        <row r="38">
          <cell r="B38" t="str">
            <v xml:space="preserve"> Treber</v>
          </cell>
          <cell r="C38">
            <v>80627</v>
          </cell>
          <cell r="D38">
            <v>2011</v>
          </cell>
          <cell r="E38">
            <v>21.8</v>
          </cell>
          <cell r="F38">
            <v>259</v>
          </cell>
          <cell r="G38">
            <v>178</v>
          </cell>
          <cell r="H38">
            <v>83</v>
          </cell>
          <cell r="I38">
            <v>48</v>
          </cell>
          <cell r="J38">
            <v>256</v>
          </cell>
          <cell r="K38">
            <v>612</v>
          </cell>
          <cell r="L38">
            <v>8.8000000000000007</v>
          </cell>
          <cell r="M38">
            <v>2.1</v>
          </cell>
          <cell r="N38">
            <v>3.4</v>
          </cell>
          <cell r="O38">
            <v>0.1</v>
          </cell>
          <cell r="P38">
            <v>2.7</v>
          </cell>
          <cell r="R38">
            <v>211</v>
          </cell>
          <cell r="S38">
            <v>0</v>
          </cell>
          <cell r="T38">
            <v>6.71</v>
          </cell>
          <cell r="W38">
            <v>7.68</v>
          </cell>
          <cell r="X38">
            <v>-2</v>
          </cell>
          <cell r="Y38">
            <v>0</v>
          </cell>
        </row>
        <row r="39">
          <cell r="B39" t="str">
            <v>Silo 9</v>
          </cell>
          <cell r="C39">
            <v>80629</v>
          </cell>
          <cell r="D39">
            <v>2011</v>
          </cell>
          <cell r="E39">
            <v>38.799999999999997</v>
          </cell>
          <cell r="F39">
            <v>113</v>
          </cell>
          <cell r="G39">
            <v>323</v>
          </cell>
          <cell r="H39">
            <v>30</v>
          </cell>
          <cell r="I39">
            <v>93</v>
          </cell>
          <cell r="J39">
            <v>323</v>
          </cell>
          <cell r="K39">
            <v>258</v>
          </cell>
          <cell r="L39">
            <v>4.5999999999999996</v>
          </cell>
          <cell r="M39">
            <v>26</v>
          </cell>
          <cell r="N39">
            <v>5.5</v>
          </cell>
          <cell r="O39">
            <v>0.2</v>
          </cell>
          <cell r="P39">
            <v>1.9</v>
          </cell>
          <cell r="R39">
            <v>121</v>
          </cell>
          <cell r="S39">
            <v>0</v>
          </cell>
          <cell r="T39">
            <v>5.59</v>
          </cell>
          <cell r="U39">
            <v>1.698</v>
          </cell>
          <cell r="W39">
            <v>-1.28</v>
          </cell>
          <cell r="X39">
            <v>506</v>
          </cell>
          <cell r="Y39">
            <v>0</v>
          </cell>
        </row>
        <row r="40">
          <cell r="B40" t="str">
            <v>Silo 3</v>
          </cell>
          <cell r="C40">
            <v>80630</v>
          </cell>
          <cell r="D40">
            <v>2011</v>
          </cell>
          <cell r="E40">
            <v>35.9</v>
          </cell>
          <cell r="F40">
            <v>86</v>
          </cell>
          <cell r="G40">
            <v>179</v>
          </cell>
          <cell r="H40">
            <v>46</v>
          </cell>
          <cell r="I40">
            <v>42</v>
          </cell>
          <cell r="J40">
            <v>187</v>
          </cell>
          <cell r="K40">
            <v>366</v>
          </cell>
          <cell r="L40">
            <v>3.6</v>
          </cell>
          <cell r="M40">
            <v>11</v>
          </cell>
          <cell r="N40">
            <v>1.9</v>
          </cell>
          <cell r="O40">
            <v>0.1</v>
          </cell>
          <cell r="P40">
            <v>1.5</v>
          </cell>
          <cell r="R40">
            <v>143</v>
          </cell>
          <cell r="S40">
            <v>0</v>
          </cell>
          <cell r="T40">
            <v>6.73</v>
          </cell>
          <cell r="U40">
            <v>1.6910400000000003</v>
          </cell>
          <cell r="W40">
            <v>-9.1199999999999992</v>
          </cell>
          <cell r="X40">
            <v>460</v>
          </cell>
          <cell r="Y40">
            <v>0</v>
          </cell>
        </row>
        <row r="41">
          <cell r="B41" t="str">
            <v>Pressschnitzel</v>
          </cell>
          <cell r="C41">
            <v>80631</v>
          </cell>
          <cell r="D41">
            <v>2011</v>
          </cell>
          <cell r="E41">
            <v>30.9</v>
          </cell>
          <cell r="F41">
            <v>79</v>
          </cell>
          <cell r="G41">
            <v>250</v>
          </cell>
          <cell r="H41">
            <v>6</v>
          </cell>
          <cell r="I41">
            <v>59</v>
          </cell>
          <cell r="J41">
            <v>213</v>
          </cell>
          <cell r="K41">
            <v>480</v>
          </cell>
          <cell r="L41">
            <v>1.1000000000000001</v>
          </cell>
          <cell r="M41">
            <v>4</v>
          </cell>
          <cell r="N41">
            <v>9.6999999999999993</v>
          </cell>
          <cell r="O41">
            <v>0.2</v>
          </cell>
          <cell r="P41">
            <v>2.6</v>
          </cell>
          <cell r="R41">
            <v>142</v>
          </cell>
          <cell r="S41">
            <v>0</v>
          </cell>
          <cell r="T41">
            <v>7.41</v>
          </cell>
          <cell r="W41">
            <v>-10.08</v>
          </cell>
          <cell r="X41">
            <v>376</v>
          </cell>
          <cell r="Y41">
            <v>0</v>
          </cell>
        </row>
        <row r="42">
          <cell r="B42" t="str">
            <v>RES</v>
          </cell>
          <cell r="C42">
            <v>80633</v>
          </cell>
          <cell r="D42">
            <v>2011</v>
          </cell>
          <cell r="E42">
            <v>89.7</v>
          </cell>
          <cell r="F42">
            <v>408</v>
          </cell>
          <cell r="G42">
            <v>134</v>
          </cell>
          <cell r="H42">
            <v>19</v>
          </cell>
          <cell r="I42">
            <v>79</v>
          </cell>
          <cell r="J42">
            <v>207</v>
          </cell>
          <cell r="K42">
            <v>340</v>
          </cell>
          <cell r="L42">
            <v>17.5</v>
          </cell>
          <cell r="M42">
            <v>15</v>
          </cell>
          <cell r="N42">
            <v>7.5</v>
          </cell>
          <cell r="O42">
            <v>0.8</v>
          </cell>
          <cell r="P42">
            <v>5.4</v>
          </cell>
          <cell r="R42">
            <v>261</v>
          </cell>
          <cell r="S42">
            <v>0</v>
          </cell>
          <cell r="T42">
            <v>7.3</v>
          </cell>
          <cell r="W42">
            <v>23.52</v>
          </cell>
          <cell r="X42">
            <v>154</v>
          </cell>
          <cell r="Y42">
            <v>0</v>
          </cell>
        </row>
        <row r="43">
          <cell r="B43" t="str">
            <v>WGM 30/35/35</v>
          </cell>
          <cell r="C43">
            <v>80634</v>
          </cell>
          <cell r="D43">
            <v>2011</v>
          </cell>
          <cell r="E43">
            <v>88.4</v>
          </cell>
          <cell r="F43">
            <v>126</v>
          </cell>
          <cell r="G43">
            <v>38</v>
          </cell>
          <cell r="H43">
            <v>36</v>
          </cell>
          <cell r="I43">
            <v>28</v>
          </cell>
          <cell r="J43">
            <v>42</v>
          </cell>
          <cell r="K43">
            <v>292</v>
          </cell>
          <cell r="L43">
            <v>5.8</v>
          </cell>
          <cell r="M43">
            <v>6</v>
          </cell>
          <cell r="N43">
            <v>0.9</v>
          </cell>
          <cell r="O43">
            <v>0.1</v>
          </cell>
          <cell r="P43">
            <v>1.7</v>
          </cell>
          <cell r="R43">
            <v>170</v>
          </cell>
          <cell r="S43">
            <v>0</v>
          </cell>
          <cell r="T43">
            <v>8.67</v>
          </cell>
          <cell r="W43">
            <v>-7.04</v>
          </cell>
          <cell r="X43">
            <v>518</v>
          </cell>
          <cell r="Y43">
            <v>0</v>
          </cell>
        </row>
        <row r="44">
          <cell r="B44" t="str">
            <v>RES</v>
          </cell>
          <cell r="C44">
            <v>80635</v>
          </cell>
          <cell r="D44">
            <v>2011</v>
          </cell>
          <cell r="E44">
            <v>89.6</v>
          </cell>
          <cell r="F44">
            <v>421</v>
          </cell>
          <cell r="G44">
            <v>121</v>
          </cell>
          <cell r="H44">
            <v>22</v>
          </cell>
          <cell r="I44">
            <v>80</v>
          </cell>
          <cell r="J44">
            <v>186</v>
          </cell>
          <cell r="K44">
            <v>334</v>
          </cell>
          <cell r="L44">
            <v>17.600000000000001</v>
          </cell>
          <cell r="M44">
            <v>15</v>
          </cell>
          <cell r="N44">
            <v>6.9</v>
          </cell>
          <cell r="O44">
            <v>0.8</v>
          </cell>
          <cell r="P44">
            <v>5.5</v>
          </cell>
          <cell r="R44">
            <v>267</v>
          </cell>
          <cell r="S44">
            <v>0</v>
          </cell>
          <cell r="T44">
            <v>7.34</v>
          </cell>
          <cell r="W44">
            <v>24.64</v>
          </cell>
          <cell r="X44">
            <v>143</v>
          </cell>
          <cell r="Y44">
            <v>0</v>
          </cell>
        </row>
        <row r="45">
          <cell r="B45" t="str">
            <v>Heu, 2. S.</v>
          </cell>
          <cell r="C45">
            <v>80636</v>
          </cell>
          <cell r="D45">
            <v>2011</v>
          </cell>
          <cell r="E45">
            <v>88.3</v>
          </cell>
          <cell r="F45">
            <v>128</v>
          </cell>
          <cell r="G45">
            <v>297</v>
          </cell>
          <cell r="H45">
            <v>29</v>
          </cell>
          <cell r="I45">
            <v>111</v>
          </cell>
          <cell r="J45">
            <v>289</v>
          </cell>
          <cell r="K45">
            <v>488</v>
          </cell>
          <cell r="L45">
            <v>4.4000000000000004</v>
          </cell>
          <cell r="M45">
            <v>23</v>
          </cell>
          <cell r="N45">
            <v>5.9</v>
          </cell>
          <cell r="O45">
            <v>1.6</v>
          </cell>
          <cell r="P45">
            <v>2</v>
          </cell>
          <cell r="R45">
            <v>135</v>
          </cell>
          <cell r="S45">
            <v>0</v>
          </cell>
          <cell r="T45">
            <v>5.95</v>
          </cell>
          <cell r="U45">
            <v>3.0779999999999998</v>
          </cell>
          <cell r="W45">
            <v>-1.1200000000000001</v>
          </cell>
          <cell r="X45">
            <v>244</v>
          </cell>
          <cell r="Y45">
            <v>0</v>
          </cell>
        </row>
        <row r="46">
          <cell r="B46" t="str">
            <v>Silo 3</v>
          </cell>
          <cell r="C46">
            <v>80637</v>
          </cell>
          <cell r="D46">
            <v>2011</v>
          </cell>
          <cell r="E46">
            <v>35.9</v>
          </cell>
          <cell r="F46">
            <v>85</v>
          </cell>
          <cell r="G46">
            <v>208</v>
          </cell>
          <cell r="H46">
            <v>47</v>
          </cell>
          <cell r="I46">
            <v>51</v>
          </cell>
          <cell r="J46">
            <v>192</v>
          </cell>
          <cell r="K46">
            <v>380</v>
          </cell>
          <cell r="L46">
            <v>4.2</v>
          </cell>
          <cell r="M46">
            <v>13</v>
          </cell>
          <cell r="N46">
            <v>2.4</v>
          </cell>
          <cell r="O46">
            <v>0.1</v>
          </cell>
          <cell r="P46">
            <v>1.7</v>
          </cell>
          <cell r="R46">
            <v>143</v>
          </cell>
          <cell r="S46">
            <v>0</v>
          </cell>
          <cell r="T46">
            <v>7.29</v>
          </cell>
          <cell r="U46">
            <v>1.7784000000000004</v>
          </cell>
          <cell r="W46">
            <v>-9.2799999999999994</v>
          </cell>
          <cell r="X46">
            <v>437</v>
          </cell>
          <cell r="Y46">
            <v>0</v>
          </cell>
        </row>
        <row r="47">
          <cell r="B47" t="str">
            <v>Silo 9</v>
          </cell>
          <cell r="C47">
            <v>80638</v>
          </cell>
          <cell r="D47">
            <v>2011</v>
          </cell>
          <cell r="E47">
            <v>39.6</v>
          </cell>
          <cell r="F47">
            <v>133</v>
          </cell>
          <cell r="G47">
            <v>310</v>
          </cell>
          <cell r="H47">
            <v>29</v>
          </cell>
          <cell r="I47">
            <v>104</v>
          </cell>
          <cell r="J47">
            <v>300</v>
          </cell>
          <cell r="K47">
            <v>491</v>
          </cell>
          <cell r="L47">
            <v>4.2</v>
          </cell>
          <cell r="M47">
            <v>26</v>
          </cell>
          <cell r="N47">
            <v>6.4</v>
          </cell>
          <cell r="O47">
            <v>0.5</v>
          </cell>
          <cell r="P47">
            <v>2.2999999999999998</v>
          </cell>
          <cell r="R47">
            <v>130</v>
          </cell>
          <cell r="S47">
            <v>0</v>
          </cell>
          <cell r="T47">
            <v>5.98</v>
          </cell>
          <cell r="U47">
            <v>3.0960000000000001</v>
          </cell>
          <cell r="W47">
            <v>0.48</v>
          </cell>
          <cell r="X47">
            <v>243</v>
          </cell>
          <cell r="Y47">
            <v>0</v>
          </cell>
        </row>
        <row r="48">
          <cell r="B48" t="str">
            <v xml:space="preserve"> Treber</v>
          </cell>
          <cell r="C48">
            <v>80639</v>
          </cell>
          <cell r="D48">
            <v>2011</v>
          </cell>
          <cell r="E48">
            <v>22.6</v>
          </cell>
          <cell r="F48">
            <v>223</v>
          </cell>
          <cell r="G48">
            <v>168</v>
          </cell>
          <cell r="H48">
            <v>87</v>
          </cell>
          <cell r="I48">
            <v>38</v>
          </cell>
          <cell r="J48">
            <v>255</v>
          </cell>
          <cell r="K48">
            <v>567</v>
          </cell>
          <cell r="L48">
            <v>6.6</v>
          </cell>
          <cell r="M48">
            <v>1.6</v>
          </cell>
          <cell r="N48">
            <v>4.2</v>
          </cell>
          <cell r="O48">
            <v>0.1</v>
          </cell>
          <cell r="P48">
            <v>2</v>
          </cell>
          <cell r="R48">
            <v>196</v>
          </cell>
          <cell r="S48">
            <v>0</v>
          </cell>
          <cell r="T48">
            <v>6.76</v>
          </cell>
          <cell r="W48">
            <v>4.32</v>
          </cell>
          <cell r="X48">
            <v>85</v>
          </cell>
          <cell r="Y48">
            <v>0</v>
          </cell>
        </row>
        <row r="49">
          <cell r="B49" t="str">
            <v>Silo 3</v>
          </cell>
          <cell r="C49">
            <v>80640</v>
          </cell>
          <cell r="D49">
            <v>2011</v>
          </cell>
          <cell r="E49">
            <v>37</v>
          </cell>
          <cell r="F49">
            <v>81</v>
          </cell>
          <cell r="G49">
            <v>177</v>
          </cell>
          <cell r="H49">
            <v>52</v>
          </cell>
          <cell r="I49">
            <v>43</v>
          </cell>
          <cell r="J49">
            <v>180</v>
          </cell>
          <cell r="K49">
            <v>384</v>
          </cell>
          <cell r="L49">
            <v>3.4</v>
          </cell>
          <cell r="M49">
            <v>12</v>
          </cell>
          <cell r="N49">
            <v>2.2000000000000002</v>
          </cell>
          <cell r="O49">
            <v>0.1</v>
          </cell>
          <cell r="P49">
            <v>2.4</v>
          </cell>
          <cell r="R49">
            <v>145</v>
          </cell>
          <cell r="S49">
            <v>0</v>
          </cell>
          <cell r="T49">
            <v>7.52</v>
          </cell>
          <cell r="U49">
            <v>1.8033600000000005</v>
          </cell>
          <cell r="W49">
            <v>-10.24</v>
          </cell>
          <cell r="X49">
            <v>440</v>
          </cell>
          <cell r="Y49">
            <v>0</v>
          </cell>
        </row>
        <row r="50">
          <cell r="B50" t="str">
            <v>Silo 9</v>
          </cell>
          <cell r="C50">
            <v>80641</v>
          </cell>
          <cell r="D50">
            <v>2011</v>
          </cell>
          <cell r="E50">
            <v>41.2</v>
          </cell>
          <cell r="F50">
            <v>126</v>
          </cell>
          <cell r="G50">
            <v>274</v>
          </cell>
          <cell r="H50">
            <v>27</v>
          </cell>
          <cell r="I50">
            <v>99</v>
          </cell>
          <cell r="J50">
            <v>306</v>
          </cell>
          <cell r="K50">
            <v>499</v>
          </cell>
          <cell r="L50">
            <v>4.5</v>
          </cell>
          <cell r="M50">
            <v>23</v>
          </cell>
          <cell r="N50">
            <v>6.8</v>
          </cell>
          <cell r="O50">
            <v>0.6</v>
          </cell>
          <cell r="P50">
            <v>2.4</v>
          </cell>
          <cell r="R50">
            <v>124</v>
          </cell>
          <cell r="S50">
            <v>0</v>
          </cell>
          <cell r="T50">
            <v>5.65</v>
          </cell>
          <cell r="U50">
            <v>3.1440000000000001</v>
          </cell>
          <cell r="W50">
            <v>0.32</v>
          </cell>
          <cell r="X50">
            <v>249</v>
          </cell>
          <cell r="Y50">
            <v>0</v>
          </cell>
        </row>
        <row r="51">
          <cell r="B51" t="str">
            <v>WGM 30/35/35</v>
          </cell>
          <cell r="C51">
            <v>80642</v>
          </cell>
          <cell r="D51">
            <v>2011</v>
          </cell>
          <cell r="E51">
            <v>88.9</v>
          </cell>
          <cell r="F51">
            <v>128</v>
          </cell>
          <cell r="G51">
            <v>42</v>
          </cell>
          <cell r="H51">
            <v>35</v>
          </cell>
          <cell r="I51">
            <v>24</v>
          </cell>
          <cell r="J51">
            <v>40</v>
          </cell>
          <cell r="K51">
            <v>289</v>
          </cell>
          <cell r="L51">
            <v>5.7</v>
          </cell>
          <cell r="M51">
            <v>6</v>
          </cell>
          <cell r="N51">
            <v>1</v>
          </cell>
          <cell r="O51">
            <v>0.1</v>
          </cell>
          <cell r="P51">
            <v>1.9</v>
          </cell>
          <cell r="R51">
            <v>177</v>
          </cell>
          <cell r="S51">
            <v>0</v>
          </cell>
          <cell r="T51">
            <v>8.93</v>
          </cell>
          <cell r="W51">
            <v>-7.84</v>
          </cell>
          <cell r="X51">
            <v>524</v>
          </cell>
          <cell r="Y51">
            <v>0</v>
          </cell>
        </row>
        <row r="52">
          <cell r="B52" t="str">
            <v>RES</v>
          </cell>
          <cell r="C52">
            <v>80643</v>
          </cell>
          <cell r="D52">
            <v>2011</v>
          </cell>
          <cell r="E52">
            <v>89.8</v>
          </cell>
          <cell r="F52">
            <v>408</v>
          </cell>
          <cell r="G52">
            <v>130</v>
          </cell>
          <cell r="H52">
            <v>20</v>
          </cell>
          <cell r="I52">
            <v>74</v>
          </cell>
          <cell r="J52">
            <v>212</v>
          </cell>
          <cell r="K52">
            <v>350</v>
          </cell>
          <cell r="L52">
            <v>15.3</v>
          </cell>
          <cell r="M52">
            <v>14</v>
          </cell>
          <cell r="N52">
            <v>7.3</v>
          </cell>
          <cell r="O52">
            <v>0.8</v>
          </cell>
          <cell r="P52">
            <v>5.2</v>
          </cell>
          <cell r="R52">
            <v>262</v>
          </cell>
          <cell r="S52">
            <v>0</v>
          </cell>
          <cell r="T52">
            <v>7.34</v>
          </cell>
          <cell r="W52">
            <v>23.36</v>
          </cell>
          <cell r="X52">
            <v>148</v>
          </cell>
          <cell r="Y52">
            <v>0</v>
          </cell>
        </row>
        <row r="53">
          <cell r="B53" t="str">
            <v>Heu, 2. S.</v>
          </cell>
          <cell r="C53">
            <v>80644</v>
          </cell>
          <cell r="D53">
            <v>2011</v>
          </cell>
          <cell r="E53">
            <v>88.6</v>
          </cell>
          <cell r="F53">
            <v>124</v>
          </cell>
          <cell r="G53">
            <v>298</v>
          </cell>
          <cell r="H53">
            <v>26</v>
          </cell>
          <cell r="I53">
            <v>76</v>
          </cell>
          <cell r="J53">
            <v>319</v>
          </cell>
          <cell r="K53">
            <v>527</v>
          </cell>
          <cell r="L53">
            <v>4.5</v>
          </cell>
          <cell r="M53">
            <v>18</v>
          </cell>
          <cell r="N53">
            <v>3.8</v>
          </cell>
          <cell r="O53">
            <v>3</v>
          </cell>
          <cell r="P53">
            <v>2.1</v>
          </cell>
          <cell r="R53">
            <v>130</v>
          </cell>
          <cell r="S53">
            <v>0</v>
          </cell>
          <cell r="T53">
            <v>5.67</v>
          </cell>
          <cell r="U53">
            <v>3.3119999999999998</v>
          </cell>
          <cell r="W53">
            <v>-0.96</v>
          </cell>
          <cell r="X53">
            <v>247</v>
          </cell>
          <cell r="Y53">
            <v>0</v>
          </cell>
        </row>
        <row r="54">
          <cell r="B54" t="str">
            <v>Stroh, Weizen</v>
          </cell>
          <cell r="C54">
            <v>80645</v>
          </cell>
          <cell r="D54">
            <v>2011</v>
          </cell>
          <cell r="E54">
            <v>92.5</v>
          </cell>
          <cell r="F54">
            <v>50</v>
          </cell>
          <cell r="G54">
            <v>424</v>
          </cell>
          <cell r="H54">
            <v>15</v>
          </cell>
          <cell r="I54">
            <v>53</v>
          </cell>
          <cell r="J54">
            <v>488</v>
          </cell>
          <cell r="K54">
            <v>761</v>
          </cell>
          <cell r="L54">
            <v>1.9</v>
          </cell>
          <cell r="M54">
            <v>14</v>
          </cell>
          <cell r="N54">
            <v>2.5</v>
          </cell>
          <cell r="O54">
            <v>0.2</v>
          </cell>
          <cell r="P54">
            <v>0.6</v>
          </cell>
          <cell r="R54">
            <v>81</v>
          </cell>
          <cell r="S54">
            <v>0</v>
          </cell>
          <cell r="T54">
            <v>3.47</v>
          </cell>
          <cell r="U54">
            <v>4.3</v>
          </cell>
          <cell r="W54">
            <v>-4.96</v>
          </cell>
          <cell r="X54">
            <v>121</v>
          </cell>
          <cell r="Y54">
            <v>0</v>
          </cell>
        </row>
        <row r="55">
          <cell r="B55" t="str">
            <v>Silo 3</v>
          </cell>
          <cell r="C55">
            <v>80646</v>
          </cell>
          <cell r="D55">
            <v>2011</v>
          </cell>
          <cell r="E55">
            <v>37.299999999999997</v>
          </cell>
          <cell r="F55">
            <v>83</v>
          </cell>
          <cell r="G55">
            <v>171</v>
          </cell>
          <cell r="H55">
            <v>46</v>
          </cell>
          <cell r="I55">
            <v>43</v>
          </cell>
          <cell r="J55">
            <v>184</v>
          </cell>
          <cell r="K55">
            <v>392</v>
          </cell>
          <cell r="L55">
            <v>3.5</v>
          </cell>
          <cell r="M55">
            <v>11</v>
          </cell>
          <cell r="N55">
            <v>2</v>
          </cell>
          <cell r="O55">
            <v>0.1</v>
          </cell>
          <cell r="P55">
            <v>1.3</v>
          </cell>
          <cell r="R55">
            <v>144</v>
          </cell>
          <cell r="S55">
            <v>0</v>
          </cell>
          <cell r="T55">
            <v>7.37</v>
          </cell>
          <cell r="U55">
            <v>1.85328</v>
          </cell>
          <cell r="W55">
            <v>-9.76</v>
          </cell>
          <cell r="X55">
            <v>436</v>
          </cell>
          <cell r="Y55">
            <v>0</v>
          </cell>
        </row>
        <row r="56">
          <cell r="B56" t="str">
            <v>Silo 9</v>
          </cell>
          <cell r="C56">
            <v>80647</v>
          </cell>
          <cell r="D56">
            <v>2011</v>
          </cell>
          <cell r="E56">
            <v>41.2</v>
          </cell>
          <cell r="F56">
            <v>118</v>
          </cell>
          <cell r="G56">
            <v>296</v>
          </cell>
          <cell r="H56">
            <v>27</v>
          </cell>
          <cell r="I56">
            <v>98</v>
          </cell>
          <cell r="J56">
            <v>318</v>
          </cell>
          <cell r="K56">
            <v>500</v>
          </cell>
          <cell r="L56">
            <v>4.2</v>
          </cell>
          <cell r="M56">
            <v>23</v>
          </cell>
          <cell r="N56">
            <v>5.7</v>
          </cell>
          <cell r="O56">
            <v>0.5</v>
          </cell>
          <cell r="P56">
            <v>2.2000000000000002</v>
          </cell>
          <cell r="Q56">
            <v>0</v>
          </cell>
          <cell r="R56">
            <v>122</v>
          </cell>
          <cell r="S56">
            <v>0</v>
          </cell>
          <cell r="T56">
            <v>5.6</v>
          </cell>
          <cell r="U56">
            <v>3.15</v>
          </cell>
          <cell r="V56">
            <v>0</v>
          </cell>
          <cell r="W56">
            <v>-0.64</v>
          </cell>
          <cell r="X56">
            <v>257</v>
          </cell>
          <cell r="Y56">
            <v>0</v>
          </cell>
        </row>
        <row r="57">
          <cell r="B57" t="str">
            <v>Silo 7</v>
          </cell>
          <cell r="C57">
            <v>80648</v>
          </cell>
          <cell r="D57">
            <v>2011</v>
          </cell>
          <cell r="E57">
            <v>38.6</v>
          </cell>
          <cell r="F57">
            <v>144</v>
          </cell>
          <cell r="G57">
            <v>273</v>
          </cell>
          <cell r="H57">
            <v>29</v>
          </cell>
          <cell r="I57">
            <v>104</v>
          </cell>
          <cell r="J57">
            <v>301</v>
          </cell>
          <cell r="K57">
            <v>496</v>
          </cell>
          <cell r="L57">
            <v>4.4000000000000004</v>
          </cell>
          <cell r="M57">
            <v>28</v>
          </cell>
          <cell r="N57">
            <v>5.6</v>
          </cell>
          <cell r="O57">
            <v>1.3</v>
          </cell>
          <cell r="P57">
            <v>2.2000000000000002</v>
          </cell>
          <cell r="R57">
            <v>131</v>
          </cell>
          <cell r="S57">
            <v>0</v>
          </cell>
          <cell r="T57">
            <v>5.96</v>
          </cell>
          <cell r="U57">
            <v>3.1259999999999999</v>
          </cell>
          <cell r="W57">
            <v>2.08</v>
          </cell>
          <cell r="X57">
            <v>227</v>
          </cell>
          <cell r="Y57">
            <v>0</v>
          </cell>
        </row>
        <row r="58">
          <cell r="B58" t="str">
            <v>Stroh, Weizen</v>
          </cell>
          <cell r="C58">
            <v>80650</v>
          </cell>
          <cell r="D58">
            <v>2011</v>
          </cell>
          <cell r="E58">
            <v>91.2</v>
          </cell>
          <cell r="F58">
            <v>58</v>
          </cell>
          <cell r="G58">
            <v>419</v>
          </cell>
          <cell r="H58">
            <v>18</v>
          </cell>
          <cell r="I58">
            <v>61</v>
          </cell>
          <cell r="J58">
            <v>461</v>
          </cell>
          <cell r="K58">
            <v>713</v>
          </cell>
          <cell r="L58">
            <v>1.2</v>
          </cell>
          <cell r="M58">
            <v>11</v>
          </cell>
          <cell r="N58">
            <v>3.1</v>
          </cell>
          <cell r="O58">
            <v>0.2</v>
          </cell>
          <cell r="P58">
            <v>1.3</v>
          </cell>
          <cell r="R58">
            <v>85</v>
          </cell>
          <cell r="S58">
            <v>0</v>
          </cell>
          <cell r="T58">
            <v>3.56</v>
          </cell>
          <cell r="U58">
            <v>4.3</v>
          </cell>
          <cell r="W58">
            <v>-4.32</v>
          </cell>
          <cell r="X58">
            <v>150</v>
          </cell>
          <cell r="Y58">
            <v>0</v>
          </cell>
        </row>
        <row r="59">
          <cell r="B59" t="str">
            <v>RES</v>
          </cell>
          <cell r="C59">
            <v>80651</v>
          </cell>
          <cell r="D59">
            <v>2012</v>
          </cell>
          <cell r="E59">
            <v>88.7</v>
          </cell>
          <cell r="F59">
            <v>413</v>
          </cell>
          <cell r="G59">
            <v>124</v>
          </cell>
          <cell r="H59">
            <v>23</v>
          </cell>
          <cell r="I59">
            <v>80</v>
          </cell>
          <cell r="J59">
            <v>205</v>
          </cell>
          <cell r="K59">
            <v>284</v>
          </cell>
          <cell r="L59">
            <v>16.7</v>
          </cell>
          <cell r="M59">
            <v>15</v>
          </cell>
          <cell r="N59">
            <v>7.1</v>
          </cell>
          <cell r="O59">
            <v>0.6</v>
          </cell>
          <cell r="P59">
            <v>6</v>
          </cell>
          <cell r="R59">
            <v>143</v>
          </cell>
          <cell r="S59">
            <v>0</v>
          </cell>
          <cell r="T59">
            <v>7.33</v>
          </cell>
          <cell r="W59">
            <v>43.2</v>
          </cell>
          <cell r="X59">
            <v>200</v>
          </cell>
          <cell r="Y59">
            <v>0</v>
          </cell>
        </row>
        <row r="60">
          <cell r="B60" t="str">
            <v>WGM 30/35/35</v>
          </cell>
          <cell r="C60">
            <v>80652</v>
          </cell>
          <cell r="D60">
            <v>2012</v>
          </cell>
          <cell r="E60">
            <v>88.5</v>
          </cell>
          <cell r="F60">
            <v>121</v>
          </cell>
          <cell r="G60">
            <v>19</v>
          </cell>
          <cell r="H60">
            <v>40</v>
          </cell>
          <cell r="I60">
            <v>23</v>
          </cell>
          <cell r="J60">
            <v>24</v>
          </cell>
          <cell r="K60">
            <v>203</v>
          </cell>
          <cell r="L60">
            <v>5.0999999999999996</v>
          </cell>
          <cell r="M60">
            <v>6</v>
          </cell>
          <cell r="N60">
            <v>0.8</v>
          </cell>
          <cell r="O60">
            <v>0.1</v>
          </cell>
          <cell r="P60">
            <v>1.8</v>
          </cell>
          <cell r="Q60">
            <v>0</v>
          </cell>
          <cell r="R60">
            <v>179</v>
          </cell>
          <cell r="S60">
            <v>0</v>
          </cell>
          <cell r="T60">
            <v>9.42</v>
          </cell>
          <cell r="U60">
            <v>0</v>
          </cell>
          <cell r="V60">
            <v>0</v>
          </cell>
          <cell r="W60">
            <v>-9.2799999999999994</v>
          </cell>
          <cell r="X60">
            <v>613</v>
          </cell>
          <cell r="Y60">
            <v>0</v>
          </cell>
        </row>
        <row r="61">
          <cell r="B61" t="str">
            <v>Silo 7</v>
          </cell>
          <cell r="C61">
            <v>80653</v>
          </cell>
          <cell r="D61">
            <v>2011</v>
          </cell>
          <cell r="E61">
            <v>38.299999999999997</v>
          </cell>
          <cell r="F61">
            <v>139</v>
          </cell>
          <cell r="G61">
            <v>307</v>
          </cell>
          <cell r="H61">
            <v>31</v>
          </cell>
          <cell r="I61">
            <v>117</v>
          </cell>
          <cell r="J61">
            <v>310</v>
          </cell>
          <cell r="K61">
            <v>488</v>
          </cell>
          <cell r="L61">
            <v>4</v>
          </cell>
          <cell r="M61">
            <v>20</v>
          </cell>
          <cell r="N61">
            <v>6.1</v>
          </cell>
          <cell r="O61">
            <v>2.1</v>
          </cell>
          <cell r="P61">
            <v>2.5</v>
          </cell>
          <cell r="R61">
            <v>125</v>
          </cell>
          <cell r="S61">
            <v>0</v>
          </cell>
          <cell r="T61">
            <v>5.61</v>
          </cell>
          <cell r="U61">
            <v>3.0779999999999998</v>
          </cell>
          <cell r="W61">
            <v>2.2400000000000002</v>
          </cell>
          <cell r="X61">
            <v>225</v>
          </cell>
          <cell r="Y61">
            <v>0</v>
          </cell>
        </row>
        <row r="62">
          <cell r="B62" t="str">
            <v>Silo 3</v>
          </cell>
          <cell r="C62">
            <v>80654</v>
          </cell>
          <cell r="D62">
            <v>2011</v>
          </cell>
          <cell r="E62">
            <v>37.700000000000003</v>
          </cell>
          <cell r="F62">
            <v>77</v>
          </cell>
          <cell r="G62">
            <v>167</v>
          </cell>
          <cell r="H62">
            <v>35</v>
          </cell>
          <cell r="I62">
            <v>41</v>
          </cell>
          <cell r="J62">
            <v>163</v>
          </cell>
          <cell r="K62">
            <v>303</v>
          </cell>
          <cell r="L62">
            <v>3.3</v>
          </cell>
          <cell r="M62">
            <v>12</v>
          </cell>
          <cell r="N62">
            <v>2.1</v>
          </cell>
          <cell r="O62">
            <v>0.2</v>
          </cell>
          <cell r="P62">
            <v>1.8</v>
          </cell>
          <cell r="R62">
            <v>139</v>
          </cell>
          <cell r="S62">
            <v>0</v>
          </cell>
          <cell r="T62">
            <v>7.16</v>
          </cell>
          <cell r="U62">
            <v>1.2979200000000002</v>
          </cell>
          <cell r="W62">
            <v>-9.92</v>
          </cell>
          <cell r="X62">
            <v>544</v>
          </cell>
          <cell r="Y62">
            <v>0</v>
          </cell>
        </row>
        <row r="63">
          <cell r="B63" t="str">
            <v xml:space="preserve"> Treber</v>
          </cell>
          <cell r="C63">
            <v>80655</v>
          </cell>
          <cell r="D63">
            <v>2012</v>
          </cell>
          <cell r="E63">
            <v>24.9</v>
          </cell>
          <cell r="F63">
            <v>218</v>
          </cell>
          <cell r="G63">
            <v>164</v>
          </cell>
          <cell r="H63">
            <v>82</v>
          </cell>
          <cell r="I63">
            <v>41</v>
          </cell>
          <cell r="J63">
            <v>246</v>
          </cell>
          <cell r="K63">
            <v>587</v>
          </cell>
          <cell r="L63">
            <v>6.3</v>
          </cell>
          <cell r="M63">
            <v>3</v>
          </cell>
          <cell r="N63">
            <v>2.9</v>
          </cell>
          <cell r="O63">
            <v>0.1</v>
          </cell>
          <cell r="P63">
            <v>1.9</v>
          </cell>
          <cell r="R63">
            <v>193</v>
          </cell>
          <cell r="S63">
            <v>0</v>
          </cell>
          <cell r="T63">
            <v>6.69</v>
          </cell>
          <cell r="U63">
            <v>1</v>
          </cell>
          <cell r="W63">
            <v>4</v>
          </cell>
          <cell r="X63">
            <v>72</v>
          </cell>
          <cell r="Y63">
            <v>0</v>
          </cell>
        </row>
        <row r="64">
          <cell r="B64" t="str">
            <v>Pressschnitzel</v>
          </cell>
          <cell r="C64">
            <v>80656</v>
          </cell>
          <cell r="D64">
            <v>2011</v>
          </cell>
          <cell r="E64">
            <v>32.1</v>
          </cell>
          <cell r="F64">
            <v>85</v>
          </cell>
          <cell r="G64">
            <v>232</v>
          </cell>
          <cell r="H64">
            <v>5</v>
          </cell>
          <cell r="I64">
            <v>63</v>
          </cell>
          <cell r="J64">
            <v>200</v>
          </cell>
          <cell r="K64">
            <v>466</v>
          </cell>
          <cell r="L64">
            <v>1.2</v>
          </cell>
          <cell r="M64">
            <v>4</v>
          </cell>
          <cell r="N64">
            <v>9.1999999999999993</v>
          </cell>
          <cell r="O64">
            <v>0.2</v>
          </cell>
          <cell r="P64">
            <v>2.5</v>
          </cell>
          <cell r="R64">
            <v>143</v>
          </cell>
          <cell r="S64">
            <v>0</v>
          </cell>
          <cell r="T64">
            <v>7.4</v>
          </cell>
          <cell r="W64">
            <v>-9.2799999999999994</v>
          </cell>
          <cell r="X64">
            <v>381</v>
          </cell>
          <cell r="Y64">
            <v>0</v>
          </cell>
        </row>
        <row r="65">
          <cell r="B65" t="str">
            <v xml:space="preserve"> Treber</v>
          </cell>
          <cell r="C65">
            <v>80657</v>
          </cell>
          <cell r="D65">
            <v>2012</v>
          </cell>
          <cell r="E65">
            <v>25.7</v>
          </cell>
          <cell r="F65">
            <v>227</v>
          </cell>
          <cell r="G65">
            <v>177</v>
          </cell>
          <cell r="H65">
            <v>72</v>
          </cell>
          <cell r="I65">
            <v>41</v>
          </cell>
          <cell r="J65">
            <v>262</v>
          </cell>
          <cell r="K65">
            <v>602</v>
          </cell>
          <cell r="L65">
            <v>6.8</v>
          </cell>
          <cell r="M65">
            <v>3</v>
          </cell>
          <cell r="N65">
            <v>2.8</v>
          </cell>
          <cell r="O65">
            <v>0.1</v>
          </cell>
          <cell r="P65">
            <v>2.2999999999999998</v>
          </cell>
          <cell r="R65">
            <v>196</v>
          </cell>
          <cell r="S65">
            <v>0</v>
          </cell>
          <cell r="T65">
            <v>6.6</v>
          </cell>
          <cell r="U65">
            <v>1</v>
          </cell>
          <cell r="W65">
            <v>4.96</v>
          </cell>
          <cell r="X65">
            <v>58</v>
          </cell>
          <cell r="Y65">
            <v>0</v>
          </cell>
        </row>
        <row r="66">
          <cell r="B66" t="str">
            <v>Pressschnitzel</v>
          </cell>
          <cell r="C66">
            <v>80660</v>
          </cell>
          <cell r="D66">
            <v>2011</v>
          </cell>
          <cell r="E66">
            <v>32.1</v>
          </cell>
          <cell r="S66">
            <v>0</v>
          </cell>
          <cell r="V66">
            <v>49</v>
          </cell>
          <cell r="W66">
            <v>0</v>
          </cell>
          <cell r="Y66">
            <v>0</v>
          </cell>
        </row>
        <row r="67">
          <cell r="B67" t="str">
            <v>WGM 30/35/35</v>
          </cell>
          <cell r="C67">
            <v>80661</v>
          </cell>
          <cell r="D67">
            <v>2012</v>
          </cell>
          <cell r="E67">
            <v>88.8</v>
          </cell>
          <cell r="F67">
            <v>140</v>
          </cell>
          <cell r="G67">
            <v>27</v>
          </cell>
          <cell r="H67">
            <v>38</v>
          </cell>
          <cell r="I67">
            <v>23</v>
          </cell>
          <cell r="J67">
            <v>33</v>
          </cell>
          <cell r="K67">
            <v>197</v>
          </cell>
          <cell r="L67">
            <v>5.9</v>
          </cell>
          <cell r="M67">
            <v>6</v>
          </cell>
          <cell r="N67">
            <v>1.2</v>
          </cell>
          <cell r="O67">
            <v>0.2</v>
          </cell>
          <cell r="P67">
            <v>1.8</v>
          </cell>
          <cell r="R67">
            <v>180</v>
          </cell>
          <cell r="S67">
            <v>0</v>
          </cell>
          <cell r="T67">
            <v>9.15</v>
          </cell>
          <cell r="W67">
            <v>-6.4</v>
          </cell>
          <cell r="X67">
            <v>602</v>
          </cell>
          <cell r="Y67">
            <v>0</v>
          </cell>
        </row>
        <row r="68">
          <cell r="B68" t="str">
            <v xml:space="preserve"> Treber</v>
          </cell>
          <cell r="C68">
            <v>80662</v>
          </cell>
          <cell r="D68">
            <v>2012</v>
          </cell>
          <cell r="E68">
            <v>25</v>
          </cell>
          <cell r="F68">
            <v>221</v>
          </cell>
          <cell r="G68">
            <v>178</v>
          </cell>
          <cell r="H68">
            <v>70</v>
          </cell>
          <cell r="I68">
            <v>43</v>
          </cell>
          <cell r="J68">
            <v>256</v>
          </cell>
          <cell r="K68">
            <v>620</v>
          </cell>
          <cell r="L68">
            <v>7</v>
          </cell>
          <cell r="M68">
            <v>2</v>
          </cell>
          <cell r="N68">
            <v>2.8</v>
          </cell>
          <cell r="O68">
            <v>0.1</v>
          </cell>
          <cell r="P68">
            <v>2.6</v>
          </cell>
          <cell r="R68">
            <v>193</v>
          </cell>
          <cell r="S68">
            <v>0</v>
          </cell>
          <cell r="T68">
            <v>6.56</v>
          </cell>
          <cell r="U68">
            <v>1</v>
          </cell>
          <cell r="W68">
            <v>4.4800000000000004</v>
          </cell>
          <cell r="X68">
            <v>46</v>
          </cell>
          <cell r="Y68">
            <v>0</v>
          </cell>
        </row>
        <row r="69">
          <cell r="B69" t="str">
            <v>RES</v>
          </cell>
          <cell r="C69">
            <v>80663</v>
          </cell>
          <cell r="D69">
            <v>2012</v>
          </cell>
          <cell r="E69">
            <v>89.2</v>
          </cell>
          <cell r="F69">
            <v>401</v>
          </cell>
          <cell r="G69">
            <v>127</v>
          </cell>
          <cell r="H69">
            <v>22</v>
          </cell>
          <cell r="I69">
            <v>79</v>
          </cell>
          <cell r="J69">
            <v>190</v>
          </cell>
          <cell r="K69">
            <v>305</v>
          </cell>
          <cell r="L69">
            <v>16.600000000000001</v>
          </cell>
          <cell r="M69">
            <v>15</v>
          </cell>
          <cell r="N69">
            <v>6.6</v>
          </cell>
          <cell r="O69">
            <v>0.4</v>
          </cell>
          <cell r="P69">
            <v>4.5</v>
          </cell>
          <cell r="R69">
            <v>259</v>
          </cell>
          <cell r="S69">
            <v>0</v>
          </cell>
          <cell r="T69">
            <v>7.31</v>
          </cell>
          <cell r="U69">
            <v>0.36</v>
          </cell>
          <cell r="W69">
            <v>22.72</v>
          </cell>
          <cell r="X69">
            <v>193</v>
          </cell>
          <cell r="Y69">
            <v>0</v>
          </cell>
        </row>
        <row r="70">
          <cell r="B70" t="str">
            <v>Pressschnitzel</v>
          </cell>
          <cell r="C70">
            <v>80664</v>
          </cell>
          <cell r="D70">
            <v>2011</v>
          </cell>
          <cell r="E70">
            <v>32.200000000000003</v>
          </cell>
          <cell r="F70">
            <v>94</v>
          </cell>
          <cell r="G70">
            <v>220</v>
          </cell>
          <cell r="H70">
            <v>11</v>
          </cell>
          <cell r="I70">
            <v>64</v>
          </cell>
          <cell r="J70">
            <v>215</v>
          </cell>
          <cell r="K70">
            <v>482</v>
          </cell>
          <cell r="L70">
            <v>1.6</v>
          </cell>
          <cell r="M70">
            <v>3</v>
          </cell>
          <cell r="N70">
            <v>9.3000000000000007</v>
          </cell>
          <cell r="O70">
            <v>0.2</v>
          </cell>
          <cell r="P70">
            <v>2.1</v>
          </cell>
          <cell r="R70">
            <v>147</v>
          </cell>
          <cell r="S70">
            <v>0</v>
          </cell>
          <cell r="T70">
            <v>7.42</v>
          </cell>
          <cell r="U70">
            <v>1.05</v>
          </cell>
          <cell r="W70">
            <v>-8.48</v>
          </cell>
          <cell r="X70">
            <v>349</v>
          </cell>
          <cell r="Y70">
            <v>0</v>
          </cell>
        </row>
        <row r="71">
          <cell r="B71" t="str">
            <v>Silo 3</v>
          </cell>
          <cell r="C71">
            <v>80665</v>
          </cell>
          <cell r="D71">
            <v>2011</v>
          </cell>
          <cell r="E71">
            <v>37.9</v>
          </cell>
          <cell r="F71">
            <v>90</v>
          </cell>
          <cell r="G71">
            <v>166</v>
          </cell>
          <cell r="H71">
            <v>43</v>
          </cell>
          <cell r="I71">
            <v>45</v>
          </cell>
          <cell r="J71">
            <v>176</v>
          </cell>
          <cell r="K71">
            <v>364</v>
          </cell>
          <cell r="L71">
            <v>3.8</v>
          </cell>
          <cell r="M71">
            <v>11</v>
          </cell>
          <cell r="N71">
            <v>2</v>
          </cell>
          <cell r="O71">
            <v>0.1</v>
          </cell>
          <cell r="P71">
            <v>1.3</v>
          </cell>
          <cell r="R71">
            <v>144</v>
          </cell>
          <cell r="S71">
            <v>0</v>
          </cell>
          <cell r="T71">
            <v>7.3</v>
          </cell>
          <cell r="U71">
            <v>1.6785600000000005</v>
          </cell>
          <cell r="W71">
            <v>-8.64</v>
          </cell>
          <cell r="X71">
            <v>458</v>
          </cell>
          <cell r="Y71">
            <v>0</v>
          </cell>
        </row>
        <row r="72">
          <cell r="B72" t="str">
            <v>Silo 7</v>
          </cell>
          <cell r="C72">
            <v>80666</v>
          </cell>
          <cell r="D72">
            <v>2011</v>
          </cell>
          <cell r="E72">
            <v>39.4</v>
          </cell>
          <cell r="F72">
            <v>141</v>
          </cell>
          <cell r="G72">
            <v>277</v>
          </cell>
          <cell r="H72">
            <v>37</v>
          </cell>
          <cell r="I72">
            <v>110</v>
          </cell>
          <cell r="J72">
            <v>302</v>
          </cell>
          <cell r="K72">
            <v>477</v>
          </cell>
          <cell r="L72">
            <v>4</v>
          </cell>
          <cell r="M72">
            <v>29</v>
          </cell>
          <cell r="N72">
            <v>5.9</v>
          </cell>
          <cell r="O72">
            <v>1</v>
          </cell>
          <cell r="P72">
            <v>2.1</v>
          </cell>
          <cell r="R72">
            <v>129</v>
          </cell>
          <cell r="S72">
            <v>0</v>
          </cell>
          <cell r="T72">
            <v>5.87</v>
          </cell>
          <cell r="U72">
            <v>3.012</v>
          </cell>
          <cell r="W72">
            <v>1.92</v>
          </cell>
          <cell r="X72">
            <v>235</v>
          </cell>
          <cell r="Y72">
            <v>0</v>
          </cell>
        </row>
        <row r="73">
          <cell r="B73" t="str">
            <v xml:space="preserve"> Treber</v>
          </cell>
          <cell r="C73">
            <v>80669</v>
          </cell>
          <cell r="D73">
            <v>2012</v>
          </cell>
          <cell r="E73">
            <v>25.6</v>
          </cell>
          <cell r="F73">
            <v>218</v>
          </cell>
          <cell r="G73">
            <v>165</v>
          </cell>
          <cell r="H73">
            <v>62</v>
          </cell>
          <cell r="I73">
            <v>42</v>
          </cell>
          <cell r="J73">
            <v>256</v>
          </cell>
          <cell r="K73">
            <v>606</v>
          </cell>
          <cell r="L73">
            <v>8</v>
          </cell>
          <cell r="M73">
            <v>2</v>
          </cell>
          <cell r="N73">
            <v>3.2</v>
          </cell>
          <cell r="O73">
            <v>0.1</v>
          </cell>
          <cell r="P73">
            <v>2.2999999999999998</v>
          </cell>
          <cell r="R73">
            <v>191</v>
          </cell>
          <cell r="S73">
            <v>0</v>
          </cell>
          <cell r="T73">
            <v>6.5</v>
          </cell>
          <cell r="U73">
            <v>1</v>
          </cell>
          <cell r="W73">
            <v>4.32</v>
          </cell>
          <cell r="X73">
            <v>72</v>
          </cell>
          <cell r="Y73">
            <v>0</v>
          </cell>
        </row>
        <row r="74">
          <cell r="B74" t="str">
            <v xml:space="preserve"> Treber</v>
          </cell>
          <cell r="C74">
            <v>80674</v>
          </cell>
          <cell r="D74">
            <v>2012</v>
          </cell>
          <cell r="E74">
            <v>25.7</v>
          </cell>
          <cell r="F74">
            <v>211</v>
          </cell>
          <cell r="G74">
            <v>187</v>
          </cell>
          <cell r="H74">
            <v>67</v>
          </cell>
          <cell r="I74">
            <v>42</v>
          </cell>
          <cell r="J74">
            <v>260</v>
          </cell>
          <cell r="K74">
            <v>644</v>
          </cell>
          <cell r="L74">
            <v>7.6</v>
          </cell>
          <cell r="M74">
            <v>3</v>
          </cell>
          <cell r="N74">
            <v>3.5</v>
          </cell>
          <cell r="O74">
            <v>0.1</v>
          </cell>
          <cell r="P74">
            <v>3.4</v>
          </cell>
          <cell r="R74">
            <v>188</v>
          </cell>
          <cell r="S74">
            <v>0</v>
          </cell>
          <cell r="T74">
            <v>6.52</v>
          </cell>
          <cell r="U74">
            <v>1</v>
          </cell>
          <cell r="W74">
            <v>3.68</v>
          </cell>
          <cell r="X74">
            <v>36</v>
          </cell>
          <cell r="Y74">
            <v>0</v>
          </cell>
        </row>
        <row r="75">
          <cell r="B75" t="str">
            <v>Heu, 2. S.</v>
          </cell>
          <cell r="C75">
            <v>80675</v>
          </cell>
          <cell r="D75">
            <v>2011</v>
          </cell>
          <cell r="E75">
            <v>89.2</v>
          </cell>
          <cell r="F75">
            <v>140</v>
          </cell>
          <cell r="G75">
            <v>276</v>
          </cell>
          <cell r="H75">
            <v>30</v>
          </cell>
          <cell r="I75">
            <v>102</v>
          </cell>
          <cell r="J75">
            <v>286</v>
          </cell>
          <cell r="K75">
            <v>489</v>
          </cell>
          <cell r="L75">
            <v>4.5</v>
          </cell>
          <cell r="M75">
            <v>29</v>
          </cell>
          <cell r="N75">
            <v>5.6</v>
          </cell>
          <cell r="O75">
            <v>1.1000000000000001</v>
          </cell>
          <cell r="P75">
            <v>2.4</v>
          </cell>
          <cell r="R75">
            <v>140</v>
          </cell>
          <cell r="S75">
            <v>0</v>
          </cell>
          <cell r="T75">
            <v>6.05</v>
          </cell>
          <cell r="U75">
            <v>3.0840000000000001</v>
          </cell>
          <cell r="W75">
            <v>0</v>
          </cell>
          <cell r="X75">
            <v>239</v>
          </cell>
          <cell r="Y75">
            <v>0</v>
          </cell>
        </row>
        <row r="76">
          <cell r="B76" t="str">
            <v>Stroh, Weizen</v>
          </cell>
          <cell r="C76">
            <v>80676</v>
          </cell>
          <cell r="D76">
            <v>2011</v>
          </cell>
          <cell r="E76">
            <v>91.4</v>
          </cell>
          <cell r="F76">
            <v>44</v>
          </cell>
          <cell r="G76">
            <v>421</v>
          </cell>
          <cell r="H76">
            <v>21</v>
          </cell>
          <cell r="I76">
            <v>55</v>
          </cell>
          <cell r="J76">
            <v>474</v>
          </cell>
          <cell r="K76">
            <v>740</v>
          </cell>
          <cell r="L76">
            <v>2.4</v>
          </cell>
          <cell r="M76">
            <v>13</v>
          </cell>
          <cell r="N76">
            <v>2.5</v>
          </cell>
          <cell r="O76">
            <v>0.2</v>
          </cell>
          <cell r="P76">
            <v>1</v>
          </cell>
          <cell r="R76">
            <v>78</v>
          </cell>
          <cell r="S76">
            <v>0</v>
          </cell>
          <cell r="T76">
            <v>3.58</v>
          </cell>
          <cell r="U76">
            <v>4.3</v>
          </cell>
          <cell r="W76">
            <v>-5.44</v>
          </cell>
          <cell r="X76">
            <v>140</v>
          </cell>
          <cell r="Y76">
            <v>0</v>
          </cell>
        </row>
        <row r="77">
          <cell r="B77" t="str">
            <v>WGM 30/35/35</v>
          </cell>
          <cell r="C77">
            <v>80677</v>
          </cell>
          <cell r="D77">
            <v>2012</v>
          </cell>
          <cell r="E77">
            <v>88.9</v>
          </cell>
          <cell r="F77">
            <v>126</v>
          </cell>
          <cell r="G77">
            <v>25</v>
          </cell>
          <cell r="H77">
            <v>41</v>
          </cell>
          <cell r="I77">
            <v>23</v>
          </cell>
          <cell r="J77">
            <v>24</v>
          </cell>
          <cell r="K77">
            <v>284</v>
          </cell>
          <cell r="L77">
            <v>5.2</v>
          </cell>
          <cell r="M77">
            <v>6</v>
          </cell>
          <cell r="N77">
            <v>1</v>
          </cell>
          <cell r="O77">
            <v>0.1</v>
          </cell>
          <cell r="P77">
            <v>1.8</v>
          </cell>
          <cell r="R77">
            <v>179</v>
          </cell>
          <cell r="S77">
            <v>0</v>
          </cell>
          <cell r="T77">
            <v>9.14</v>
          </cell>
          <cell r="W77">
            <v>-8.48</v>
          </cell>
          <cell r="X77">
            <v>526</v>
          </cell>
          <cell r="Y77">
            <v>0</v>
          </cell>
        </row>
        <row r="78">
          <cell r="B78" t="str">
            <v>RES</v>
          </cell>
          <cell r="C78">
            <v>80678</v>
          </cell>
          <cell r="D78">
            <v>2012</v>
          </cell>
          <cell r="E78">
            <v>88.1</v>
          </cell>
          <cell r="F78">
            <v>400</v>
          </cell>
          <cell r="G78">
            <v>129</v>
          </cell>
          <cell r="H78">
            <v>28</v>
          </cell>
          <cell r="I78">
            <v>76</v>
          </cell>
          <cell r="J78">
            <v>183</v>
          </cell>
          <cell r="K78">
            <v>299</v>
          </cell>
          <cell r="L78">
            <v>17.3</v>
          </cell>
          <cell r="M78">
            <v>14</v>
          </cell>
          <cell r="N78">
            <v>6.4</v>
          </cell>
          <cell r="O78">
            <v>0.6</v>
          </cell>
          <cell r="P78">
            <v>5.2</v>
          </cell>
          <cell r="R78">
            <v>260</v>
          </cell>
          <cell r="S78">
            <v>0</v>
          </cell>
          <cell r="T78">
            <v>7.39</v>
          </cell>
          <cell r="W78">
            <v>22.4</v>
          </cell>
          <cell r="X78">
            <v>197</v>
          </cell>
          <cell r="Y78">
            <v>0</v>
          </cell>
        </row>
        <row r="79">
          <cell r="B79" t="str">
            <v>Silo 3</v>
          </cell>
          <cell r="C79">
            <v>80679</v>
          </cell>
          <cell r="D79">
            <v>2011</v>
          </cell>
          <cell r="E79">
            <v>37.200000000000003</v>
          </cell>
          <cell r="F79">
            <v>91</v>
          </cell>
          <cell r="G79">
            <v>185</v>
          </cell>
          <cell r="H79">
            <v>49</v>
          </cell>
          <cell r="I79">
            <v>45</v>
          </cell>
          <cell r="J79">
            <v>189</v>
          </cell>
          <cell r="K79">
            <v>425</v>
          </cell>
          <cell r="L79">
            <v>4.0999999999999996</v>
          </cell>
          <cell r="M79">
            <v>11</v>
          </cell>
          <cell r="N79">
            <v>1.8</v>
          </cell>
          <cell r="O79">
            <v>0.1</v>
          </cell>
          <cell r="P79">
            <v>1.7</v>
          </cell>
          <cell r="R79">
            <v>142</v>
          </cell>
          <cell r="S79">
            <v>0</v>
          </cell>
          <cell r="T79">
            <v>7.07</v>
          </cell>
          <cell r="U79">
            <v>2.0592000000000006</v>
          </cell>
          <cell r="W79">
            <v>-8.16</v>
          </cell>
          <cell r="X79">
            <v>390</v>
          </cell>
          <cell r="Y79">
            <v>0</v>
          </cell>
        </row>
        <row r="80">
          <cell r="B80" t="str">
            <v>Silo 7</v>
          </cell>
          <cell r="C80">
            <v>80680</v>
          </cell>
          <cell r="D80">
            <v>2011</v>
          </cell>
          <cell r="E80">
            <v>39.5</v>
          </cell>
          <cell r="F80">
            <v>136</v>
          </cell>
          <cell r="G80">
            <v>317</v>
          </cell>
          <cell r="H80">
            <v>42</v>
          </cell>
          <cell r="I80">
            <v>110</v>
          </cell>
          <cell r="J80">
            <v>339</v>
          </cell>
          <cell r="K80">
            <v>511</v>
          </cell>
          <cell r="L80">
            <v>3.9</v>
          </cell>
          <cell r="M80">
            <v>26</v>
          </cell>
          <cell r="N80">
            <v>5.2</v>
          </cell>
          <cell r="O80">
            <v>0.8</v>
          </cell>
          <cell r="P80">
            <v>2.2999999999999998</v>
          </cell>
          <cell r="R80">
            <v>124</v>
          </cell>
          <cell r="S80">
            <v>0</v>
          </cell>
          <cell r="T80">
            <v>5.57</v>
          </cell>
          <cell r="U80">
            <v>3.2160000000000002</v>
          </cell>
          <cell r="W80">
            <v>1.92</v>
          </cell>
          <cell r="X80">
            <v>201</v>
          </cell>
          <cell r="Y80">
            <v>0</v>
          </cell>
        </row>
        <row r="81">
          <cell r="B81" t="str">
            <v xml:space="preserve"> Treber</v>
          </cell>
          <cell r="C81">
            <v>80681</v>
          </cell>
          <cell r="D81">
            <v>2012</v>
          </cell>
          <cell r="E81">
            <v>25</v>
          </cell>
          <cell r="F81">
            <v>252</v>
          </cell>
          <cell r="G81">
            <v>180</v>
          </cell>
          <cell r="H81">
            <v>79</v>
          </cell>
          <cell r="I81">
            <v>43</v>
          </cell>
          <cell r="J81">
            <v>264</v>
          </cell>
          <cell r="K81">
            <v>628</v>
          </cell>
          <cell r="L81">
            <v>7.1</v>
          </cell>
          <cell r="M81">
            <v>3</v>
          </cell>
          <cell r="N81">
            <v>2.2999999999999998</v>
          </cell>
          <cell r="O81">
            <v>0.1</v>
          </cell>
          <cell r="P81">
            <v>2.6</v>
          </cell>
          <cell r="R81">
            <v>207</v>
          </cell>
          <cell r="S81">
            <v>0</v>
          </cell>
          <cell r="T81">
            <v>6.68</v>
          </cell>
          <cell r="U81">
            <v>1</v>
          </cell>
          <cell r="W81">
            <v>7.2</v>
          </cell>
          <cell r="X81">
            <v>-2</v>
          </cell>
          <cell r="Y81">
            <v>0</v>
          </cell>
        </row>
        <row r="82">
          <cell r="B82" t="str">
            <v>Pressschnitzel</v>
          </cell>
          <cell r="C82">
            <v>80682</v>
          </cell>
          <cell r="D82">
            <v>2011</v>
          </cell>
          <cell r="E82">
            <v>31.7</v>
          </cell>
          <cell r="F82">
            <v>81</v>
          </cell>
          <cell r="G82">
            <v>198</v>
          </cell>
          <cell r="H82">
            <v>4</v>
          </cell>
          <cell r="I82">
            <v>61</v>
          </cell>
          <cell r="J82">
            <v>205</v>
          </cell>
          <cell r="K82">
            <v>490</v>
          </cell>
          <cell r="L82">
            <v>1.1000000000000001</v>
          </cell>
          <cell r="M82">
            <v>4</v>
          </cell>
          <cell r="N82">
            <v>8.6999999999999993</v>
          </cell>
          <cell r="O82">
            <v>0.1</v>
          </cell>
          <cell r="P82">
            <v>2.2999999999999998</v>
          </cell>
          <cell r="R82">
            <v>143</v>
          </cell>
          <cell r="S82">
            <v>0</v>
          </cell>
          <cell r="T82">
            <v>7.44</v>
          </cell>
          <cell r="W82">
            <v>-9.92</v>
          </cell>
          <cell r="X82">
            <v>364</v>
          </cell>
          <cell r="Y82">
            <v>0</v>
          </cell>
        </row>
        <row r="83">
          <cell r="B83" t="str">
            <v>Stroh, Gerste</v>
          </cell>
          <cell r="C83">
            <v>80687</v>
          </cell>
          <cell r="D83">
            <v>2011</v>
          </cell>
          <cell r="E83">
            <v>89.9</v>
          </cell>
          <cell r="F83">
            <v>46</v>
          </cell>
          <cell r="G83">
            <v>437</v>
          </cell>
          <cell r="H83">
            <v>9</v>
          </cell>
          <cell r="I83">
            <v>52</v>
          </cell>
          <cell r="J83">
            <v>500</v>
          </cell>
          <cell r="K83">
            <v>778</v>
          </cell>
          <cell r="L83">
            <v>1.2</v>
          </cell>
          <cell r="M83">
            <v>10</v>
          </cell>
          <cell r="N83">
            <v>4</v>
          </cell>
          <cell r="O83">
            <v>0.8</v>
          </cell>
          <cell r="P83">
            <v>1.4</v>
          </cell>
          <cell r="R83">
            <v>82</v>
          </cell>
          <cell r="S83">
            <v>0</v>
          </cell>
          <cell r="T83">
            <v>3.8</v>
          </cell>
          <cell r="U83">
            <v>4.3</v>
          </cell>
          <cell r="W83">
            <v>-5.76</v>
          </cell>
          <cell r="X83">
            <v>115</v>
          </cell>
          <cell r="Y83">
            <v>0</v>
          </cell>
        </row>
        <row r="84">
          <cell r="B84" t="str">
            <v>WGM 30/35/35</v>
          </cell>
          <cell r="C84">
            <v>80688</v>
          </cell>
          <cell r="D84">
            <v>2012</v>
          </cell>
          <cell r="E84">
            <v>88.2</v>
          </cell>
          <cell r="F84">
            <v>120</v>
          </cell>
          <cell r="G84">
            <v>38</v>
          </cell>
          <cell r="H84">
            <v>35</v>
          </cell>
          <cell r="I84">
            <v>21</v>
          </cell>
          <cell r="J84">
            <v>41</v>
          </cell>
          <cell r="K84">
            <v>263</v>
          </cell>
          <cell r="L84">
            <v>5.3</v>
          </cell>
          <cell r="M84">
            <v>5</v>
          </cell>
          <cell r="N84">
            <v>0.9</v>
          </cell>
          <cell r="O84">
            <v>0.1</v>
          </cell>
          <cell r="P84">
            <v>2.2999999999999998</v>
          </cell>
          <cell r="R84">
            <v>175</v>
          </cell>
          <cell r="S84">
            <v>0</v>
          </cell>
          <cell r="T84">
            <v>8.94</v>
          </cell>
          <cell r="W84">
            <v>-8.8000000000000007</v>
          </cell>
          <cell r="X84">
            <v>561</v>
          </cell>
          <cell r="Y84">
            <v>0</v>
          </cell>
        </row>
        <row r="85">
          <cell r="B85" t="str">
            <v>Heu, 2. S.</v>
          </cell>
          <cell r="C85">
            <v>80689</v>
          </cell>
          <cell r="D85">
            <v>2011</v>
          </cell>
          <cell r="E85">
            <v>90.3</v>
          </cell>
          <cell r="F85">
            <v>124</v>
          </cell>
          <cell r="G85">
            <v>261</v>
          </cell>
          <cell r="H85">
            <v>26</v>
          </cell>
          <cell r="I85">
            <v>83</v>
          </cell>
          <cell r="J85">
            <v>281</v>
          </cell>
          <cell r="K85">
            <v>482</v>
          </cell>
          <cell r="L85">
            <v>5.2</v>
          </cell>
          <cell r="M85">
            <v>20</v>
          </cell>
          <cell r="N85">
            <v>5.8</v>
          </cell>
          <cell r="O85">
            <v>1.4</v>
          </cell>
          <cell r="P85">
            <v>3.3</v>
          </cell>
          <cell r="R85">
            <v>137</v>
          </cell>
          <cell r="S85">
            <v>0</v>
          </cell>
          <cell r="T85">
            <v>6.11</v>
          </cell>
          <cell r="U85">
            <v>3.0419999999999998</v>
          </cell>
          <cell r="W85">
            <v>-2.08</v>
          </cell>
          <cell r="X85">
            <v>285</v>
          </cell>
          <cell r="Y85">
            <v>0</v>
          </cell>
        </row>
        <row r="86">
          <cell r="B86" t="str">
            <v>RES</v>
          </cell>
          <cell r="C86">
            <v>80690</v>
          </cell>
          <cell r="D86">
            <v>2012</v>
          </cell>
          <cell r="E86">
            <v>87.2</v>
          </cell>
          <cell r="F86">
            <v>386</v>
          </cell>
          <cell r="G86">
            <v>128</v>
          </cell>
          <cell r="H86">
            <v>28</v>
          </cell>
          <cell r="I86">
            <v>72</v>
          </cell>
          <cell r="J86">
            <v>186</v>
          </cell>
          <cell r="K86">
            <v>299</v>
          </cell>
          <cell r="L86">
            <v>16.100000000000001</v>
          </cell>
          <cell r="M86">
            <v>14</v>
          </cell>
          <cell r="N86">
            <v>7.2</v>
          </cell>
          <cell r="O86">
            <v>0.6</v>
          </cell>
          <cell r="P86">
            <v>5</v>
          </cell>
          <cell r="R86">
            <v>255</v>
          </cell>
          <cell r="S86">
            <v>0</v>
          </cell>
          <cell r="T86">
            <v>7.4</v>
          </cell>
          <cell r="W86">
            <v>20.96</v>
          </cell>
          <cell r="X86">
            <v>215</v>
          </cell>
          <cell r="Y86">
            <v>0</v>
          </cell>
        </row>
        <row r="87">
          <cell r="B87" t="str">
            <v>Silo 2</v>
          </cell>
          <cell r="C87">
            <v>80691</v>
          </cell>
          <cell r="D87">
            <v>2011</v>
          </cell>
          <cell r="E87">
            <v>35.5</v>
          </cell>
          <cell r="F87">
            <v>91</v>
          </cell>
          <cell r="G87">
            <v>173</v>
          </cell>
          <cell r="H87">
            <v>44</v>
          </cell>
          <cell r="I87">
            <v>41</v>
          </cell>
          <cell r="J87">
            <v>168</v>
          </cell>
          <cell r="K87">
            <v>354</v>
          </cell>
          <cell r="L87">
            <v>3.6</v>
          </cell>
          <cell r="M87">
            <v>11</v>
          </cell>
          <cell r="N87">
            <v>2.2999999999999998</v>
          </cell>
          <cell r="O87">
            <v>0.2</v>
          </cell>
          <cell r="P87">
            <v>1.9</v>
          </cell>
          <cell r="R87">
            <v>144</v>
          </cell>
          <cell r="S87">
            <v>0</v>
          </cell>
          <cell r="T87">
            <v>7.27</v>
          </cell>
          <cell r="U87">
            <v>1.6161600000000003</v>
          </cell>
          <cell r="W87">
            <v>-8.48</v>
          </cell>
          <cell r="X87">
            <v>470</v>
          </cell>
          <cell r="Y87">
            <v>0</v>
          </cell>
        </row>
        <row r="88">
          <cell r="B88" t="str">
            <v>Silo 7</v>
          </cell>
          <cell r="C88">
            <v>80692</v>
          </cell>
          <cell r="D88">
            <v>2011</v>
          </cell>
          <cell r="E88">
            <v>39.6</v>
          </cell>
          <cell r="F88">
            <v>114</v>
          </cell>
          <cell r="G88">
            <v>332</v>
          </cell>
          <cell r="H88">
            <v>30</v>
          </cell>
          <cell r="I88">
            <v>92</v>
          </cell>
          <cell r="J88">
            <v>332</v>
          </cell>
          <cell r="K88">
            <v>530</v>
          </cell>
          <cell r="L88">
            <v>4.5</v>
          </cell>
          <cell r="M88">
            <v>25</v>
          </cell>
          <cell r="N88">
            <v>5.5</v>
          </cell>
          <cell r="O88">
            <v>0.5</v>
          </cell>
          <cell r="P88">
            <v>2.2999999999999998</v>
          </cell>
          <cell r="R88">
            <v>119</v>
          </cell>
          <cell r="S88">
            <v>0</v>
          </cell>
          <cell r="T88">
            <v>5.44</v>
          </cell>
          <cell r="U88">
            <v>3.33</v>
          </cell>
          <cell r="W88">
            <v>-0.8</v>
          </cell>
          <cell r="X88">
            <v>234</v>
          </cell>
          <cell r="Y88">
            <v>0</v>
          </cell>
        </row>
        <row r="89">
          <cell r="B89" t="str">
            <v>Pressschnitzel</v>
          </cell>
          <cell r="C89">
            <v>80693</v>
          </cell>
          <cell r="D89">
            <v>2011</v>
          </cell>
          <cell r="E89">
            <v>31.9</v>
          </cell>
          <cell r="F89">
            <v>84</v>
          </cell>
          <cell r="G89">
            <v>207</v>
          </cell>
          <cell r="H89">
            <v>5</v>
          </cell>
          <cell r="I89">
            <v>62</v>
          </cell>
          <cell r="J89">
            <v>207</v>
          </cell>
          <cell r="K89">
            <v>512</v>
          </cell>
          <cell r="L89">
            <v>1.2</v>
          </cell>
          <cell r="M89">
            <v>4</v>
          </cell>
          <cell r="N89">
            <v>10.4</v>
          </cell>
          <cell r="O89">
            <v>0.2</v>
          </cell>
          <cell r="P89">
            <v>3.1</v>
          </cell>
          <cell r="R89">
            <v>143</v>
          </cell>
          <cell r="S89">
            <v>0</v>
          </cell>
          <cell r="T89">
            <v>7.43</v>
          </cell>
          <cell r="V89">
            <v>22</v>
          </cell>
          <cell r="W89">
            <v>-9.44</v>
          </cell>
          <cell r="X89">
            <v>337</v>
          </cell>
          <cell r="Y89">
            <v>0</v>
          </cell>
        </row>
        <row r="90">
          <cell r="B90" t="str">
            <v xml:space="preserve"> Treber</v>
          </cell>
          <cell r="C90">
            <v>80694</v>
          </cell>
          <cell r="D90">
            <v>2012</v>
          </cell>
          <cell r="E90">
            <v>24.7</v>
          </cell>
          <cell r="F90">
            <v>234</v>
          </cell>
          <cell r="G90">
            <v>226</v>
          </cell>
          <cell r="H90">
            <v>67</v>
          </cell>
          <cell r="I90">
            <v>43</v>
          </cell>
          <cell r="J90">
            <v>226</v>
          </cell>
          <cell r="K90">
            <v>583</v>
          </cell>
          <cell r="L90">
            <v>7.6</v>
          </cell>
          <cell r="M90">
            <v>3</v>
          </cell>
          <cell r="N90">
            <v>4.3</v>
          </cell>
          <cell r="O90">
            <v>0.2</v>
          </cell>
          <cell r="P90">
            <v>2.8</v>
          </cell>
          <cell r="R90">
            <v>198</v>
          </cell>
          <cell r="S90">
            <v>0</v>
          </cell>
          <cell r="T90">
            <v>6.53</v>
          </cell>
          <cell r="U90">
            <v>1</v>
          </cell>
          <cell r="W90">
            <v>5.76</v>
          </cell>
          <cell r="X90">
            <v>73</v>
          </cell>
          <cell r="Y90">
            <v>0</v>
          </cell>
        </row>
        <row r="91">
          <cell r="B91" t="str">
            <v>Stroh, Gerste</v>
          </cell>
          <cell r="C91">
            <v>80697</v>
          </cell>
          <cell r="D91">
            <v>2011</v>
          </cell>
          <cell r="E91">
            <v>90.5</v>
          </cell>
          <cell r="F91">
            <v>36</v>
          </cell>
          <cell r="G91">
            <v>443</v>
          </cell>
          <cell r="H91">
            <v>17</v>
          </cell>
          <cell r="I91">
            <v>43</v>
          </cell>
          <cell r="J91">
            <v>488</v>
          </cell>
          <cell r="K91">
            <v>774</v>
          </cell>
          <cell r="L91">
            <v>1.4</v>
          </cell>
          <cell r="M91">
            <v>10</v>
          </cell>
          <cell r="N91">
            <v>3</v>
          </cell>
          <cell r="O91">
            <v>0.2</v>
          </cell>
          <cell r="P91">
            <v>0.6</v>
          </cell>
          <cell r="R91">
            <v>78</v>
          </cell>
          <cell r="S91">
            <v>0</v>
          </cell>
          <cell r="T91">
            <v>3.86</v>
          </cell>
          <cell r="U91">
            <v>4.3</v>
          </cell>
          <cell r="W91">
            <v>-6.72</v>
          </cell>
          <cell r="X91">
            <v>130</v>
          </cell>
          <cell r="Y91">
            <v>0</v>
          </cell>
        </row>
        <row r="92">
          <cell r="B92" t="str">
            <v>WGM 30/35/35</v>
          </cell>
          <cell r="C92">
            <v>80698</v>
          </cell>
          <cell r="D92">
            <v>2012</v>
          </cell>
          <cell r="E92">
            <v>88.4</v>
          </cell>
          <cell r="F92">
            <v>123</v>
          </cell>
          <cell r="G92">
            <v>32</v>
          </cell>
          <cell r="H92">
            <v>35</v>
          </cell>
          <cell r="I92">
            <v>26</v>
          </cell>
          <cell r="J92">
            <v>34</v>
          </cell>
          <cell r="K92">
            <v>318</v>
          </cell>
          <cell r="L92">
            <v>5.4</v>
          </cell>
          <cell r="M92">
            <v>6</v>
          </cell>
          <cell r="N92">
            <v>1.1000000000000001</v>
          </cell>
          <cell r="O92">
            <v>0.2</v>
          </cell>
          <cell r="P92">
            <v>1.6</v>
          </cell>
          <cell r="R92">
            <v>176</v>
          </cell>
          <cell r="S92">
            <v>0</v>
          </cell>
          <cell r="T92">
            <v>9.0399999999999991</v>
          </cell>
          <cell r="W92">
            <v>-8.48</v>
          </cell>
          <cell r="X92">
            <v>498</v>
          </cell>
          <cell r="Y92">
            <v>0</v>
          </cell>
        </row>
        <row r="93">
          <cell r="B93" t="str">
            <v>Heu, 2. S.</v>
          </cell>
          <cell r="C93">
            <v>80699</v>
          </cell>
          <cell r="D93">
            <v>2011</v>
          </cell>
          <cell r="E93">
            <v>89.9</v>
          </cell>
          <cell r="F93">
            <v>125</v>
          </cell>
          <cell r="G93">
            <v>254</v>
          </cell>
          <cell r="H93">
            <v>29</v>
          </cell>
          <cell r="I93">
            <v>89</v>
          </cell>
          <cell r="J93">
            <v>279</v>
          </cell>
          <cell r="K93">
            <v>480</v>
          </cell>
          <cell r="L93">
            <v>5.4</v>
          </cell>
          <cell r="M93">
            <v>21</v>
          </cell>
          <cell r="N93">
            <v>5.2</v>
          </cell>
          <cell r="O93">
            <v>1.4</v>
          </cell>
          <cell r="P93">
            <v>2.2999999999999998</v>
          </cell>
          <cell r="R93">
            <v>138</v>
          </cell>
          <cell r="S93">
            <v>0</v>
          </cell>
          <cell r="T93">
            <v>6.2</v>
          </cell>
          <cell r="U93">
            <v>3.03</v>
          </cell>
          <cell r="W93">
            <v>-2.08</v>
          </cell>
          <cell r="X93">
            <v>277</v>
          </cell>
          <cell r="Y93">
            <v>0</v>
          </cell>
        </row>
        <row r="94">
          <cell r="B94" t="str">
            <v>RES</v>
          </cell>
          <cell r="C94">
            <v>80700</v>
          </cell>
          <cell r="D94">
            <v>2012</v>
          </cell>
          <cell r="E94">
            <v>88.9</v>
          </cell>
          <cell r="F94">
            <v>409</v>
          </cell>
          <cell r="G94">
            <v>109</v>
          </cell>
          <cell r="H94">
            <v>23</v>
          </cell>
          <cell r="I94">
            <v>81</v>
          </cell>
          <cell r="J94">
            <v>192</v>
          </cell>
          <cell r="K94">
            <v>333</v>
          </cell>
          <cell r="L94">
            <v>17.2</v>
          </cell>
          <cell r="M94">
            <v>15</v>
          </cell>
          <cell r="N94">
            <v>7.1</v>
          </cell>
          <cell r="O94">
            <v>0.1</v>
          </cell>
          <cell r="P94">
            <v>4.9000000000000004</v>
          </cell>
          <cell r="R94">
            <v>262</v>
          </cell>
          <cell r="S94">
            <v>0</v>
          </cell>
          <cell r="T94">
            <v>7.33</v>
          </cell>
          <cell r="W94">
            <v>23.52</v>
          </cell>
          <cell r="X94">
            <v>154</v>
          </cell>
          <cell r="Y94">
            <v>0</v>
          </cell>
        </row>
        <row r="95">
          <cell r="B95" t="str">
            <v>Silo 2</v>
          </cell>
          <cell r="C95">
            <v>80701</v>
          </cell>
          <cell r="D95">
            <v>2011</v>
          </cell>
          <cell r="E95">
            <v>35.9</v>
          </cell>
          <cell r="F95">
            <v>81</v>
          </cell>
          <cell r="G95">
            <v>167</v>
          </cell>
          <cell r="H95">
            <v>49</v>
          </cell>
          <cell r="I95">
            <v>42</v>
          </cell>
          <cell r="J95">
            <v>172</v>
          </cell>
          <cell r="K95">
            <v>361</v>
          </cell>
          <cell r="L95">
            <v>3.2</v>
          </cell>
          <cell r="M95">
            <v>11</v>
          </cell>
          <cell r="N95">
            <v>2.1</v>
          </cell>
          <cell r="O95">
            <v>0.2</v>
          </cell>
          <cell r="P95">
            <v>1.1000000000000001</v>
          </cell>
          <cell r="R95">
            <v>144</v>
          </cell>
          <cell r="S95">
            <v>0</v>
          </cell>
          <cell r="T95">
            <v>6.87</v>
          </cell>
          <cell r="U95">
            <v>1.6598400000000002</v>
          </cell>
          <cell r="V95">
            <v>4</v>
          </cell>
          <cell r="W95">
            <v>-10.08</v>
          </cell>
          <cell r="X95">
            <v>467</v>
          </cell>
          <cell r="Y95">
            <v>0</v>
          </cell>
        </row>
        <row r="96">
          <cell r="B96" t="str">
            <v>Silo 7</v>
          </cell>
          <cell r="C96">
            <v>80702</v>
          </cell>
          <cell r="D96">
            <v>2011</v>
          </cell>
          <cell r="E96">
            <v>37.299999999999997</v>
          </cell>
          <cell r="F96">
            <v>139</v>
          </cell>
          <cell r="G96">
            <v>272</v>
          </cell>
          <cell r="H96">
            <v>35</v>
          </cell>
          <cell r="I96">
            <v>170</v>
          </cell>
          <cell r="J96">
            <v>291</v>
          </cell>
          <cell r="K96">
            <v>476</v>
          </cell>
          <cell r="L96">
            <v>4.4000000000000004</v>
          </cell>
          <cell r="M96">
            <v>29</v>
          </cell>
          <cell r="N96">
            <v>7.5</v>
          </cell>
          <cell r="O96">
            <v>1.1000000000000001</v>
          </cell>
          <cell r="P96">
            <v>2.2999999999999998</v>
          </cell>
          <cell r="R96">
            <v>122</v>
          </cell>
          <cell r="S96">
            <v>0</v>
          </cell>
          <cell r="T96">
            <v>5.5</v>
          </cell>
          <cell r="U96">
            <v>3.0059999999999998</v>
          </cell>
          <cell r="V96">
            <v>15</v>
          </cell>
          <cell r="W96">
            <v>2.72</v>
          </cell>
          <cell r="X96">
            <v>180</v>
          </cell>
          <cell r="Y96">
            <v>0</v>
          </cell>
        </row>
        <row r="97">
          <cell r="B97" t="str">
            <v>Pressschnitzel</v>
          </cell>
          <cell r="C97">
            <v>80703</v>
          </cell>
          <cell r="D97">
            <v>2011</v>
          </cell>
          <cell r="E97">
            <v>31.9</v>
          </cell>
          <cell r="F97">
            <v>96</v>
          </cell>
          <cell r="G97">
            <v>212</v>
          </cell>
          <cell r="H97">
            <v>12</v>
          </cell>
          <cell r="I97">
            <v>65</v>
          </cell>
          <cell r="J97">
            <v>204</v>
          </cell>
          <cell r="K97">
            <v>491</v>
          </cell>
          <cell r="L97">
            <v>1.5</v>
          </cell>
          <cell r="M97">
            <v>3</v>
          </cell>
          <cell r="N97">
            <v>9.9</v>
          </cell>
          <cell r="O97">
            <v>0.2</v>
          </cell>
          <cell r="P97">
            <v>2</v>
          </cell>
          <cell r="R97">
            <v>147</v>
          </cell>
          <cell r="S97">
            <v>0</v>
          </cell>
          <cell r="T97">
            <v>7.43</v>
          </cell>
          <cell r="V97">
            <v>28</v>
          </cell>
          <cell r="W97">
            <v>-8.16</v>
          </cell>
          <cell r="X97">
            <v>336</v>
          </cell>
          <cell r="Y97">
            <v>0</v>
          </cell>
        </row>
        <row r="98">
          <cell r="B98" t="str">
            <v xml:space="preserve"> Treber</v>
          </cell>
          <cell r="C98">
            <v>80706</v>
          </cell>
          <cell r="D98">
            <v>2012</v>
          </cell>
          <cell r="E98">
            <v>24.7</v>
          </cell>
          <cell r="F98">
            <v>226</v>
          </cell>
          <cell r="G98">
            <v>158</v>
          </cell>
          <cell r="H98">
            <v>67</v>
          </cell>
          <cell r="I98">
            <v>41</v>
          </cell>
          <cell r="J98">
            <v>232</v>
          </cell>
          <cell r="K98">
            <v>624</v>
          </cell>
          <cell r="L98">
            <v>7.2</v>
          </cell>
          <cell r="M98">
            <v>2</v>
          </cell>
          <cell r="N98">
            <v>3</v>
          </cell>
          <cell r="O98">
            <v>0.1</v>
          </cell>
          <cell r="P98">
            <v>2</v>
          </cell>
          <cell r="R98">
            <v>195</v>
          </cell>
          <cell r="S98">
            <v>0</v>
          </cell>
          <cell r="T98">
            <v>6.56</v>
          </cell>
          <cell r="U98">
            <v>1</v>
          </cell>
          <cell r="W98">
            <v>4.96</v>
          </cell>
          <cell r="X98">
            <v>42</v>
          </cell>
          <cell r="Y98">
            <v>0</v>
          </cell>
        </row>
        <row r="99">
          <cell r="B99" t="str">
            <v>RES</v>
          </cell>
          <cell r="C99">
            <v>80709</v>
          </cell>
          <cell r="D99">
            <v>2012</v>
          </cell>
          <cell r="E99">
            <v>88.1</v>
          </cell>
          <cell r="F99">
            <v>377</v>
          </cell>
          <cell r="G99">
            <v>133</v>
          </cell>
          <cell r="H99">
            <v>11</v>
          </cell>
          <cell r="I99">
            <v>71</v>
          </cell>
          <cell r="J99">
            <v>199</v>
          </cell>
          <cell r="K99">
            <v>295</v>
          </cell>
          <cell r="L99">
            <v>14.9</v>
          </cell>
          <cell r="M99">
            <v>14</v>
          </cell>
          <cell r="N99">
            <v>7.8</v>
          </cell>
          <cell r="O99">
            <v>0.5</v>
          </cell>
          <cell r="P99">
            <v>5</v>
          </cell>
          <cell r="R99">
            <v>249</v>
          </cell>
          <cell r="S99">
            <v>0</v>
          </cell>
          <cell r="T99">
            <v>7.26</v>
          </cell>
          <cell r="W99">
            <v>20.48</v>
          </cell>
          <cell r="X99">
            <v>246</v>
          </cell>
          <cell r="Y99">
            <v>0</v>
          </cell>
        </row>
        <row r="100">
          <cell r="B100" t="str">
            <v xml:space="preserve"> Treber</v>
          </cell>
          <cell r="C100">
            <v>80710</v>
          </cell>
          <cell r="D100">
            <v>2012</v>
          </cell>
          <cell r="E100">
            <v>25.2</v>
          </cell>
          <cell r="F100">
            <v>237</v>
          </cell>
          <cell r="G100">
            <v>153</v>
          </cell>
          <cell r="H100">
            <v>73</v>
          </cell>
          <cell r="I100">
            <v>40</v>
          </cell>
          <cell r="J100">
            <v>218</v>
          </cell>
          <cell r="K100">
            <v>588</v>
          </cell>
          <cell r="L100">
            <v>7.2</v>
          </cell>
          <cell r="M100">
            <v>2</v>
          </cell>
          <cell r="N100">
            <v>3</v>
          </cell>
          <cell r="O100">
            <v>0.1</v>
          </cell>
          <cell r="P100">
            <v>2.2999999999999998</v>
          </cell>
          <cell r="R100">
            <v>200</v>
          </cell>
          <cell r="S100">
            <v>0</v>
          </cell>
          <cell r="T100">
            <v>6.65</v>
          </cell>
          <cell r="U100">
            <v>1</v>
          </cell>
          <cell r="W100">
            <v>5.92</v>
          </cell>
          <cell r="X100">
            <v>62</v>
          </cell>
          <cell r="Y100">
            <v>0</v>
          </cell>
        </row>
        <row r="101">
          <cell r="B101" t="str">
            <v>RES</v>
          </cell>
          <cell r="C101">
            <v>80711</v>
          </cell>
          <cell r="D101">
            <v>2012</v>
          </cell>
          <cell r="E101">
            <v>93.1</v>
          </cell>
          <cell r="F101">
            <v>393</v>
          </cell>
          <cell r="G101">
            <v>138</v>
          </cell>
          <cell r="H101">
            <v>18</v>
          </cell>
          <cell r="I101">
            <v>73</v>
          </cell>
          <cell r="J101">
            <v>207</v>
          </cell>
          <cell r="K101">
            <v>325</v>
          </cell>
          <cell r="L101">
            <v>16</v>
          </cell>
          <cell r="M101">
            <v>14</v>
          </cell>
          <cell r="N101">
            <v>7.4</v>
          </cell>
          <cell r="O101">
            <v>0.2</v>
          </cell>
          <cell r="P101">
            <v>5.0999999999999996</v>
          </cell>
          <cell r="R101">
            <v>256</v>
          </cell>
          <cell r="S101">
            <v>0</v>
          </cell>
          <cell r="T101">
            <v>7.31</v>
          </cell>
          <cell r="W101">
            <v>21.92</v>
          </cell>
          <cell r="X101">
            <v>191</v>
          </cell>
          <cell r="Y101">
            <v>0</v>
          </cell>
        </row>
        <row r="102">
          <cell r="B102" t="str">
            <v>Silo 5</v>
          </cell>
          <cell r="C102">
            <v>80712</v>
          </cell>
          <cell r="D102">
            <v>2011</v>
          </cell>
          <cell r="E102">
            <v>34.4</v>
          </cell>
          <cell r="F102">
            <v>168</v>
          </cell>
          <cell r="G102">
            <v>217</v>
          </cell>
          <cell r="H102">
            <v>37</v>
          </cell>
          <cell r="I102">
            <v>101</v>
          </cell>
          <cell r="J102">
            <v>479</v>
          </cell>
          <cell r="K102">
            <v>378</v>
          </cell>
          <cell r="L102">
            <v>5.5</v>
          </cell>
          <cell r="M102">
            <v>36</v>
          </cell>
          <cell r="N102">
            <v>5.4</v>
          </cell>
          <cell r="O102">
            <v>0.6</v>
          </cell>
          <cell r="P102">
            <v>1.8</v>
          </cell>
          <cell r="R102">
            <v>146</v>
          </cell>
          <cell r="S102">
            <v>0</v>
          </cell>
          <cell r="T102">
            <v>6.71</v>
          </cell>
          <cell r="U102">
            <v>2.4180000000000001</v>
          </cell>
          <cell r="V102">
            <v>90</v>
          </cell>
          <cell r="W102">
            <v>3.52</v>
          </cell>
          <cell r="X102">
            <v>316</v>
          </cell>
          <cell r="Y102">
            <v>0</v>
          </cell>
        </row>
        <row r="103">
          <cell r="B103" t="str">
            <v>Silo 8</v>
          </cell>
          <cell r="C103">
            <v>80713</v>
          </cell>
          <cell r="D103">
            <v>2011</v>
          </cell>
          <cell r="E103">
            <v>38.9</v>
          </cell>
          <cell r="F103">
            <v>91</v>
          </cell>
          <cell r="G103">
            <v>152</v>
          </cell>
          <cell r="H103">
            <v>43</v>
          </cell>
          <cell r="I103">
            <v>39</v>
          </cell>
          <cell r="J103">
            <v>153</v>
          </cell>
          <cell r="K103">
            <v>327</v>
          </cell>
          <cell r="L103">
            <v>3.8</v>
          </cell>
          <cell r="M103">
            <v>11</v>
          </cell>
          <cell r="N103">
            <v>2.2999999999999998</v>
          </cell>
          <cell r="O103">
            <v>0.1</v>
          </cell>
          <cell r="P103">
            <v>1.3</v>
          </cell>
          <cell r="R103">
            <v>146</v>
          </cell>
          <cell r="S103">
            <v>0</v>
          </cell>
          <cell r="T103">
            <v>7.38</v>
          </cell>
          <cell r="U103">
            <v>1.4476799999999999</v>
          </cell>
          <cell r="V103">
            <v>7</v>
          </cell>
          <cell r="W103">
            <v>-8.8000000000000007</v>
          </cell>
          <cell r="X103">
            <v>500</v>
          </cell>
          <cell r="Y103">
            <v>0</v>
          </cell>
        </row>
        <row r="104">
          <cell r="B104" t="str">
            <v xml:space="preserve"> Treber</v>
          </cell>
          <cell r="C104">
            <v>80714</v>
          </cell>
          <cell r="D104">
            <v>2012</v>
          </cell>
          <cell r="E104">
            <v>23.5</v>
          </cell>
          <cell r="F104">
            <v>248</v>
          </cell>
          <cell r="G104">
            <v>175</v>
          </cell>
          <cell r="H104">
            <v>66</v>
          </cell>
          <cell r="I104">
            <v>48</v>
          </cell>
          <cell r="J104">
            <v>310</v>
          </cell>
          <cell r="K104">
            <v>638</v>
          </cell>
          <cell r="L104">
            <v>7.7</v>
          </cell>
          <cell r="M104">
            <v>3</v>
          </cell>
          <cell r="N104">
            <v>2.2000000000000002</v>
          </cell>
          <cell r="O104">
            <v>0.1</v>
          </cell>
          <cell r="P104">
            <v>2.2999999999999998</v>
          </cell>
          <cell r="R104">
            <v>203</v>
          </cell>
          <cell r="S104">
            <v>0</v>
          </cell>
          <cell r="T104">
            <v>6.53</v>
          </cell>
          <cell r="U104">
            <v>1</v>
          </cell>
          <cell r="V104">
            <v>3</v>
          </cell>
          <cell r="W104">
            <v>7.2</v>
          </cell>
          <cell r="X104">
            <v>0</v>
          </cell>
          <cell r="Y104">
            <v>0</v>
          </cell>
        </row>
        <row r="105">
          <cell r="B105" t="str">
            <v>WGM 30/35/35</v>
          </cell>
          <cell r="C105">
            <v>80715</v>
          </cell>
          <cell r="D105">
            <v>2012</v>
          </cell>
          <cell r="E105">
            <v>89</v>
          </cell>
          <cell r="F105">
            <v>123</v>
          </cell>
          <cell r="G105">
            <v>14</v>
          </cell>
          <cell r="H105">
            <v>39</v>
          </cell>
          <cell r="I105">
            <v>20</v>
          </cell>
          <cell r="J105">
            <v>20</v>
          </cell>
          <cell r="K105">
            <v>352</v>
          </cell>
          <cell r="L105">
            <v>5.2</v>
          </cell>
          <cell r="M105">
            <v>7</v>
          </cell>
          <cell r="N105">
            <v>0.7</v>
          </cell>
          <cell r="O105">
            <v>0.1</v>
          </cell>
          <cell r="P105">
            <v>1.3</v>
          </cell>
          <cell r="R105">
            <v>178</v>
          </cell>
          <cell r="S105">
            <v>0</v>
          </cell>
          <cell r="T105">
            <v>9.1999999999999993</v>
          </cell>
          <cell r="W105">
            <v>-8.8000000000000007</v>
          </cell>
          <cell r="X105">
            <v>466</v>
          </cell>
          <cell r="Y105">
            <v>0</v>
          </cell>
        </row>
        <row r="106">
          <cell r="B106" t="str">
            <v>RES</v>
          </cell>
          <cell r="C106">
            <v>80716</v>
          </cell>
          <cell r="D106">
            <v>2012</v>
          </cell>
          <cell r="E106">
            <v>93.3</v>
          </cell>
          <cell r="F106">
            <v>391</v>
          </cell>
          <cell r="G106">
            <v>143</v>
          </cell>
          <cell r="H106">
            <v>18</v>
          </cell>
          <cell r="I106">
            <v>73</v>
          </cell>
          <cell r="J106">
            <v>235</v>
          </cell>
          <cell r="K106">
            <v>344</v>
          </cell>
          <cell r="L106">
            <v>15.2</v>
          </cell>
          <cell r="M106">
            <v>15</v>
          </cell>
          <cell r="N106">
            <v>7.1</v>
          </cell>
          <cell r="O106">
            <v>0.1</v>
          </cell>
          <cell r="P106">
            <v>5.0999999999999996</v>
          </cell>
          <cell r="R106">
            <v>255</v>
          </cell>
          <cell r="S106">
            <v>0</v>
          </cell>
          <cell r="T106">
            <v>7.31</v>
          </cell>
          <cell r="W106">
            <v>21.76</v>
          </cell>
          <cell r="X106">
            <v>174</v>
          </cell>
          <cell r="Y106">
            <v>0</v>
          </cell>
        </row>
        <row r="107">
          <cell r="B107" t="str">
            <v>Stroh, Weizen</v>
          </cell>
          <cell r="C107">
            <v>80717</v>
          </cell>
          <cell r="D107">
            <v>2011</v>
          </cell>
          <cell r="E107">
            <v>91.4</v>
          </cell>
          <cell r="F107">
            <v>53</v>
          </cell>
          <cell r="G107">
            <v>428</v>
          </cell>
          <cell r="H107">
            <v>17</v>
          </cell>
          <cell r="I107">
            <v>52</v>
          </cell>
          <cell r="J107">
            <v>493</v>
          </cell>
          <cell r="K107">
            <v>738</v>
          </cell>
          <cell r="L107">
            <v>1.4</v>
          </cell>
          <cell r="M107">
            <v>11.1</v>
          </cell>
          <cell r="N107">
            <v>2.8</v>
          </cell>
          <cell r="O107">
            <v>0.1</v>
          </cell>
          <cell r="P107">
            <v>1</v>
          </cell>
          <cell r="R107">
            <v>83</v>
          </cell>
          <cell r="S107">
            <v>0</v>
          </cell>
          <cell r="U107">
            <v>4.3</v>
          </cell>
          <cell r="W107">
            <v>-4.8</v>
          </cell>
          <cell r="X107">
            <v>140</v>
          </cell>
          <cell r="Y107">
            <v>0</v>
          </cell>
        </row>
        <row r="108">
          <cell r="B108" t="str">
            <v>Pressschnitzel</v>
          </cell>
          <cell r="C108">
            <v>80718</v>
          </cell>
          <cell r="D108">
            <v>2011</v>
          </cell>
          <cell r="E108">
            <v>32.299999999999997</v>
          </cell>
          <cell r="F108">
            <v>81</v>
          </cell>
          <cell r="G108">
            <v>238</v>
          </cell>
          <cell r="H108">
            <v>5</v>
          </cell>
          <cell r="I108">
            <v>62</v>
          </cell>
          <cell r="J108">
            <v>227</v>
          </cell>
          <cell r="K108">
            <v>524</v>
          </cell>
          <cell r="L108">
            <v>1.1000000000000001</v>
          </cell>
          <cell r="M108">
            <v>5</v>
          </cell>
          <cell r="N108">
            <v>9.1</v>
          </cell>
          <cell r="O108">
            <v>0.7</v>
          </cell>
          <cell r="P108">
            <v>2.2000000000000002</v>
          </cell>
          <cell r="R108">
            <v>142</v>
          </cell>
          <cell r="S108">
            <v>0</v>
          </cell>
          <cell r="T108">
            <v>7.39</v>
          </cell>
          <cell r="V108">
            <v>46</v>
          </cell>
          <cell r="W108">
            <v>-9.76</v>
          </cell>
          <cell r="X108">
            <v>328</v>
          </cell>
          <cell r="Y108">
            <v>0</v>
          </cell>
        </row>
        <row r="109">
          <cell r="B109" t="str">
            <v xml:space="preserve"> Treber</v>
          </cell>
          <cell r="C109">
            <v>80719</v>
          </cell>
          <cell r="D109">
            <v>2012</v>
          </cell>
          <cell r="E109">
            <v>23.1</v>
          </cell>
          <cell r="F109">
            <v>239</v>
          </cell>
          <cell r="G109">
            <v>194</v>
          </cell>
          <cell r="H109">
            <v>92</v>
          </cell>
          <cell r="I109">
            <v>46</v>
          </cell>
          <cell r="J109">
            <v>305</v>
          </cell>
          <cell r="K109">
            <v>621</v>
          </cell>
          <cell r="L109">
            <v>10.9</v>
          </cell>
          <cell r="M109">
            <v>3</v>
          </cell>
          <cell r="N109">
            <v>5</v>
          </cell>
          <cell r="O109">
            <v>0.1</v>
          </cell>
          <cell r="P109">
            <v>2.8</v>
          </cell>
          <cell r="R109">
            <v>203</v>
          </cell>
          <cell r="S109">
            <v>0</v>
          </cell>
          <cell r="T109">
            <v>6.76</v>
          </cell>
          <cell r="U109">
            <v>1</v>
          </cell>
          <cell r="W109">
            <v>5.76</v>
          </cell>
          <cell r="X109">
            <v>2</v>
          </cell>
          <cell r="Y109">
            <v>0</v>
          </cell>
        </row>
        <row r="110">
          <cell r="B110" t="str">
            <v xml:space="preserve"> Treber</v>
          </cell>
          <cell r="C110">
            <v>80720</v>
          </cell>
          <cell r="D110">
            <v>2012</v>
          </cell>
          <cell r="E110">
            <v>22.2</v>
          </cell>
          <cell r="F110">
            <v>238</v>
          </cell>
          <cell r="G110">
            <v>256</v>
          </cell>
          <cell r="H110">
            <v>86</v>
          </cell>
          <cell r="I110">
            <v>39</v>
          </cell>
          <cell r="J110">
            <v>295</v>
          </cell>
          <cell r="K110">
            <v>636</v>
          </cell>
          <cell r="L110">
            <v>6.6</v>
          </cell>
          <cell r="M110">
            <v>1.9</v>
          </cell>
          <cell r="N110">
            <v>3.5</v>
          </cell>
          <cell r="O110">
            <v>0.1</v>
          </cell>
          <cell r="P110">
            <v>1.5</v>
          </cell>
          <cell r="R110">
            <v>160</v>
          </cell>
          <cell r="S110">
            <v>0</v>
          </cell>
          <cell r="T110">
            <v>6.71</v>
          </cell>
          <cell r="U110">
            <v>1</v>
          </cell>
          <cell r="W110">
            <v>12.48</v>
          </cell>
          <cell r="X110">
            <v>1</v>
          </cell>
          <cell r="Y110">
            <v>0</v>
          </cell>
        </row>
        <row r="111">
          <cell r="B111" t="str">
            <v>Silo 9</v>
          </cell>
          <cell r="C111">
            <v>80721</v>
          </cell>
          <cell r="D111">
            <v>2012</v>
          </cell>
          <cell r="E111">
            <v>33</v>
          </cell>
          <cell r="F111">
            <v>180</v>
          </cell>
          <cell r="G111">
            <v>354</v>
          </cell>
          <cell r="H111">
            <v>28</v>
          </cell>
          <cell r="I111">
            <v>102</v>
          </cell>
          <cell r="J111">
            <v>281</v>
          </cell>
          <cell r="K111">
            <v>485</v>
          </cell>
          <cell r="L111">
            <v>5</v>
          </cell>
          <cell r="M111">
            <v>31</v>
          </cell>
          <cell r="N111">
            <v>4.7</v>
          </cell>
          <cell r="O111">
            <v>2</v>
          </cell>
          <cell r="P111">
            <v>1.9</v>
          </cell>
          <cell r="R111">
            <v>145</v>
          </cell>
          <cell r="S111">
            <v>0</v>
          </cell>
          <cell r="T111">
            <v>6.46</v>
          </cell>
          <cell r="U111">
            <v>3.06</v>
          </cell>
          <cell r="W111">
            <v>5.6</v>
          </cell>
          <cell r="X111">
            <v>205</v>
          </cell>
          <cell r="Y111">
            <v>0</v>
          </cell>
        </row>
        <row r="112">
          <cell r="B112" t="str">
            <v>Silo 5</v>
          </cell>
          <cell r="C112">
            <v>80722</v>
          </cell>
          <cell r="D112">
            <v>2011</v>
          </cell>
          <cell r="E112">
            <v>35.799999999999997</v>
          </cell>
          <cell r="F112">
            <v>195</v>
          </cell>
          <cell r="G112">
            <v>291</v>
          </cell>
          <cell r="H112">
            <v>43</v>
          </cell>
          <cell r="I112">
            <v>107</v>
          </cell>
          <cell r="J112">
            <v>243</v>
          </cell>
          <cell r="K112">
            <v>368</v>
          </cell>
          <cell r="L112">
            <v>5.8</v>
          </cell>
          <cell r="M112">
            <v>7</v>
          </cell>
          <cell r="N112">
            <v>6.8</v>
          </cell>
          <cell r="O112">
            <v>1</v>
          </cell>
          <cell r="P112">
            <v>2.7</v>
          </cell>
          <cell r="R112">
            <v>152</v>
          </cell>
          <cell r="S112">
            <v>0</v>
          </cell>
          <cell r="T112">
            <v>6.83</v>
          </cell>
          <cell r="U112">
            <v>2.3580000000000001</v>
          </cell>
          <cell r="W112">
            <v>6.88</v>
          </cell>
          <cell r="X112">
            <v>287</v>
          </cell>
          <cell r="Y112">
            <v>0</v>
          </cell>
        </row>
        <row r="113">
          <cell r="B113" t="str">
            <v>Silo 8</v>
          </cell>
          <cell r="C113">
            <v>80723</v>
          </cell>
          <cell r="D113">
            <v>2011</v>
          </cell>
          <cell r="E113">
            <v>39.1</v>
          </cell>
          <cell r="F113">
            <v>78</v>
          </cell>
          <cell r="G113">
            <v>220</v>
          </cell>
          <cell r="H113">
            <v>53</v>
          </cell>
          <cell r="I113">
            <v>33</v>
          </cell>
          <cell r="J113">
            <v>152</v>
          </cell>
          <cell r="K113">
            <v>331</v>
          </cell>
          <cell r="L113">
            <v>2.7</v>
          </cell>
          <cell r="M113">
            <v>6.7</v>
          </cell>
          <cell r="N113">
            <v>2.2000000000000002</v>
          </cell>
          <cell r="O113">
            <v>0.1</v>
          </cell>
          <cell r="P113">
            <v>0.8</v>
          </cell>
          <cell r="R113">
            <v>145</v>
          </cell>
          <cell r="S113">
            <v>0</v>
          </cell>
          <cell r="T113">
            <v>7.59</v>
          </cell>
          <cell r="U113">
            <v>1.4726399999999999</v>
          </cell>
          <cell r="W113">
            <v>-10.72</v>
          </cell>
          <cell r="X113">
            <v>505</v>
          </cell>
          <cell r="Y113">
            <v>0</v>
          </cell>
        </row>
        <row r="114">
          <cell r="B114" t="str">
            <v>Pressschnitzel</v>
          </cell>
          <cell r="C114">
            <v>80724</v>
          </cell>
          <cell r="D114">
            <v>2011</v>
          </cell>
          <cell r="E114">
            <v>33.700000000000003</v>
          </cell>
          <cell r="F114">
            <v>81</v>
          </cell>
          <cell r="G114">
            <v>326</v>
          </cell>
          <cell r="H114">
            <v>7</v>
          </cell>
          <cell r="I114">
            <v>61</v>
          </cell>
          <cell r="J114">
            <v>195</v>
          </cell>
          <cell r="K114">
            <v>513</v>
          </cell>
          <cell r="L114">
            <v>1.1000000000000001</v>
          </cell>
          <cell r="M114">
            <v>3</v>
          </cell>
          <cell r="N114">
            <v>10</v>
          </cell>
          <cell r="O114">
            <v>0.5</v>
          </cell>
          <cell r="P114">
            <v>2.2999999999999998</v>
          </cell>
          <cell r="R114">
            <v>142</v>
          </cell>
          <cell r="S114">
            <v>0</v>
          </cell>
          <cell r="T114">
            <v>7.32</v>
          </cell>
          <cell r="W114">
            <v>-9.76</v>
          </cell>
          <cell r="X114">
            <v>338</v>
          </cell>
          <cell r="Y114">
            <v>0</v>
          </cell>
        </row>
        <row r="115">
          <cell r="B115" t="str">
            <v xml:space="preserve"> Treber</v>
          </cell>
          <cell r="C115">
            <v>80725</v>
          </cell>
          <cell r="D115">
            <v>2012</v>
          </cell>
          <cell r="E115">
            <v>24.4</v>
          </cell>
          <cell r="F115">
            <v>240</v>
          </cell>
          <cell r="G115">
            <v>256</v>
          </cell>
          <cell r="H115">
            <v>80</v>
          </cell>
          <cell r="I115">
            <v>43</v>
          </cell>
          <cell r="J115">
            <v>276</v>
          </cell>
          <cell r="K115">
            <v>626</v>
          </cell>
          <cell r="L115">
            <v>7.4</v>
          </cell>
          <cell r="M115">
            <v>2</v>
          </cell>
          <cell r="N115">
            <v>3.3</v>
          </cell>
          <cell r="O115">
            <v>0.1</v>
          </cell>
          <cell r="P115">
            <v>2.5</v>
          </cell>
          <cell r="R115">
            <v>202</v>
          </cell>
          <cell r="S115">
            <v>0</v>
          </cell>
          <cell r="T115">
            <v>6.63</v>
          </cell>
          <cell r="U115">
            <v>1</v>
          </cell>
          <cell r="W115">
            <v>6.08</v>
          </cell>
          <cell r="X115">
            <v>11</v>
          </cell>
          <cell r="Y115">
            <v>0</v>
          </cell>
        </row>
        <row r="116">
          <cell r="B116" t="str">
            <v>WGM 30/35/35</v>
          </cell>
          <cell r="C116">
            <v>80726</v>
          </cell>
          <cell r="D116">
            <v>2012</v>
          </cell>
          <cell r="E116">
            <v>89.4</v>
          </cell>
          <cell r="F116">
            <v>123</v>
          </cell>
          <cell r="G116">
            <v>39</v>
          </cell>
          <cell r="H116">
            <v>34</v>
          </cell>
          <cell r="I116">
            <v>24</v>
          </cell>
          <cell r="J116">
            <v>21</v>
          </cell>
          <cell r="K116">
            <v>333</v>
          </cell>
          <cell r="L116">
            <v>5.4</v>
          </cell>
          <cell r="M116">
            <v>5.7</v>
          </cell>
          <cell r="N116">
            <v>1.5</v>
          </cell>
          <cell r="O116">
            <v>0.1</v>
          </cell>
          <cell r="P116">
            <v>1.6</v>
          </cell>
          <cell r="R116">
            <v>176</v>
          </cell>
          <cell r="S116">
            <v>0</v>
          </cell>
          <cell r="T116">
            <v>8.92</v>
          </cell>
          <cell r="W116">
            <v>-8.48</v>
          </cell>
          <cell r="X116">
            <v>486</v>
          </cell>
          <cell r="Y116">
            <v>0</v>
          </cell>
        </row>
        <row r="117">
          <cell r="B117" t="str">
            <v>RES</v>
          </cell>
          <cell r="C117">
            <v>80727</v>
          </cell>
          <cell r="D117">
            <v>2012</v>
          </cell>
          <cell r="E117">
            <v>93.7</v>
          </cell>
          <cell r="F117">
            <v>378</v>
          </cell>
          <cell r="G117">
            <v>252</v>
          </cell>
          <cell r="H117">
            <v>17</v>
          </cell>
          <cell r="I117">
            <v>73</v>
          </cell>
          <cell r="J117">
            <v>230</v>
          </cell>
          <cell r="K117">
            <v>329</v>
          </cell>
          <cell r="L117">
            <v>15.3</v>
          </cell>
          <cell r="M117">
            <v>14</v>
          </cell>
          <cell r="N117">
            <v>7</v>
          </cell>
          <cell r="O117">
            <v>0.1</v>
          </cell>
          <cell r="P117">
            <v>4.8</v>
          </cell>
          <cell r="R117">
            <v>250</v>
          </cell>
          <cell r="S117">
            <v>0</v>
          </cell>
          <cell r="T117">
            <v>7.21</v>
          </cell>
          <cell r="W117">
            <v>20.48</v>
          </cell>
          <cell r="X117">
            <v>203</v>
          </cell>
          <cell r="Y117">
            <v>0</v>
          </cell>
        </row>
        <row r="118">
          <cell r="B118" t="str">
            <v>RES</v>
          </cell>
          <cell r="C118">
            <v>80728</v>
          </cell>
          <cell r="D118">
            <v>2012</v>
          </cell>
          <cell r="E118">
            <v>90.4</v>
          </cell>
          <cell r="F118">
            <v>369</v>
          </cell>
          <cell r="G118">
            <v>188</v>
          </cell>
          <cell r="H118">
            <v>29</v>
          </cell>
          <cell r="I118">
            <v>74</v>
          </cell>
          <cell r="J118">
            <v>194</v>
          </cell>
          <cell r="K118">
            <v>291</v>
          </cell>
          <cell r="L118">
            <v>14.7</v>
          </cell>
          <cell r="M118">
            <v>13</v>
          </cell>
          <cell r="N118">
            <v>7.1</v>
          </cell>
          <cell r="O118">
            <v>0.7</v>
          </cell>
          <cell r="P118">
            <v>4.9000000000000004</v>
          </cell>
          <cell r="R118">
            <v>248</v>
          </cell>
          <cell r="S118">
            <v>0</v>
          </cell>
          <cell r="T118">
            <v>7.33</v>
          </cell>
          <cell r="W118">
            <v>19.36</v>
          </cell>
          <cell r="X118">
            <v>237</v>
          </cell>
          <cell r="Y118">
            <v>0</v>
          </cell>
        </row>
        <row r="119">
          <cell r="B119" t="str">
            <v>Silo 8</v>
          </cell>
          <cell r="C119">
            <v>80729</v>
          </cell>
          <cell r="D119">
            <v>2011</v>
          </cell>
          <cell r="E119">
            <v>39.4</v>
          </cell>
          <cell r="F119">
            <v>77</v>
          </cell>
          <cell r="G119">
            <v>164</v>
          </cell>
          <cell r="H119">
            <v>35</v>
          </cell>
          <cell r="I119">
            <v>38</v>
          </cell>
          <cell r="J119">
            <v>140</v>
          </cell>
          <cell r="K119">
            <v>266</v>
          </cell>
          <cell r="L119">
            <v>3.5</v>
          </cell>
          <cell r="M119">
            <v>10</v>
          </cell>
          <cell r="N119">
            <v>2.2000000000000002</v>
          </cell>
          <cell r="O119">
            <v>0.1</v>
          </cell>
          <cell r="P119">
            <v>1</v>
          </cell>
          <cell r="R119">
            <v>142</v>
          </cell>
          <cell r="S119">
            <v>0</v>
          </cell>
          <cell r="T119">
            <v>7.4</v>
          </cell>
          <cell r="U119">
            <v>1.0670400000000002</v>
          </cell>
          <cell r="V119">
            <v>6</v>
          </cell>
          <cell r="W119">
            <v>-10.4</v>
          </cell>
          <cell r="X119">
            <v>584</v>
          </cell>
          <cell r="Y119">
            <v>0</v>
          </cell>
        </row>
        <row r="120">
          <cell r="B120" t="str">
            <v>Silo 5</v>
          </cell>
          <cell r="C120">
            <v>80730</v>
          </cell>
          <cell r="D120">
            <v>2011</v>
          </cell>
          <cell r="E120">
            <v>35.9</v>
          </cell>
          <cell r="F120">
            <v>181</v>
          </cell>
          <cell r="G120">
            <v>283</v>
          </cell>
          <cell r="H120">
            <v>42</v>
          </cell>
          <cell r="I120">
            <v>104</v>
          </cell>
          <cell r="J120">
            <v>229</v>
          </cell>
          <cell r="K120">
            <v>355</v>
          </cell>
          <cell r="L120">
            <v>5.2</v>
          </cell>
          <cell r="M120">
            <v>32</v>
          </cell>
          <cell r="N120">
            <v>6.1</v>
          </cell>
          <cell r="O120">
            <v>0.7</v>
          </cell>
          <cell r="P120">
            <v>2.2000000000000002</v>
          </cell>
          <cell r="R120">
            <v>152</v>
          </cell>
          <cell r="S120">
            <v>0</v>
          </cell>
          <cell r="T120">
            <v>6.96</v>
          </cell>
          <cell r="U120">
            <v>2.2799999999999998</v>
          </cell>
          <cell r="V120">
            <v>44</v>
          </cell>
          <cell r="W120">
            <v>4.6399999999999997</v>
          </cell>
          <cell r="X120">
            <v>318</v>
          </cell>
          <cell r="Y120">
            <v>0</v>
          </cell>
        </row>
        <row r="121">
          <cell r="B121" t="str">
            <v>Pressschnitzel</v>
          </cell>
          <cell r="C121">
            <v>80731</v>
          </cell>
          <cell r="D121">
            <v>2011</v>
          </cell>
          <cell r="E121">
            <v>33.1</v>
          </cell>
          <cell r="F121">
            <v>80</v>
          </cell>
          <cell r="G121">
            <v>332</v>
          </cell>
          <cell r="H121">
            <v>6</v>
          </cell>
          <cell r="I121">
            <v>61</v>
          </cell>
          <cell r="J121">
            <v>200</v>
          </cell>
          <cell r="K121">
            <v>524</v>
          </cell>
          <cell r="L121">
            <v>1.2</v>
          </cell>
          <cell r="M121">
            <v>3</v>
          </cell>
          <cell r="N121">
            <v>9.6</v>
          </cell>
          <cell r="O121">
            <v>0.6</v>
          </cell>
          <cell r="P121">
            <v>2.2000000000000002</v>
          </cell>
          <cell r="R121">
            <v>141</v>
          </cell>
          <cell r="S121">
            <v>0</v>
          </cell>
          <cell r="T121">
            <v>7.31</v>
          </cell>
          <cell r="V121">
            <v>42</v>
          </cell>
          <cell r="W121">
            <v>-9.76</v>
          </cell>
          <cell r="X121">
            <v>329</v>
          </cell>
          <cell r="Y121">
            <v>0</v>
          </cell>
        </row>
        <row r="122">
          <cell r="B122" t="str">
            <v xml:space="preserve"> Treber</v>
          </cell>
          <cell r="C122">
            <v>80732</v>
          </cell>
          <cell r="D122">
            <v>2012</v>
          </cell>
          <cell r="E122">
            <v>24.5</v>
          </cell>
          <cell r="F122">
            <v>248</v>
          </cell>
          <cell r="G122">
            <v>296</v>
          </cell>
          <cell r="H122">
            <v>80</v>
          </cell>
          <cell r="I122">
            <v>41</v>
          </cell>
          <cell r="J122">
            <v>306</v>
          </cell>
          <cell r="K122">
            <v>627</v>
          </cell>
          <cell r="L122">
            <v>7.7</v>
          </cell>
          <cell r="M122">
            <v>2</v>
          </cell>
          <cell r="N122">
            <v>4.2</v>
          </cell>
          <cell r="O122">
            <v>0.2</v>
          </cell>
          <cell r="P122">
            <v>1.9</v>
          </cell>
          <cell r="R122">
            <v>205</v>
          </cell>
          <cell r="S122">
            <v>0</v>
          </cell>
          <cell r="T122">
            <v>6.63</v>
          </cell>
          <cell r="U122">
            <v>1</v>
          </cell>
          <cell r="W122">
            <v>6.88</v>
          </cell>
          <cell r="X122">
            <v>4</v>
          </cell>
          <cell r="Y122">
            <v>0</v>
          </cell>
        </row>
        <row r="123">
          <cell r="B123" t="str">
            <v>WGM 30/35/35</v>
          </cell>
          <cell r="C123">
            <v>80733</v>
          </cell>
          <cell r="D123">
            <v>2012</v>
          </cell>
          <cell r="E123">
            <v>89.6</v>
          </cell>
          <cell r="F123">
            <v>119</v>
          </cell>
          <cell r="G123">
            <v>43</v>
          </cell>
          <cell r="H123">
            <v>39</v>
          </cell>
          <cell r="I123">
            <v>26</v>
          </cell>
          <cell r="J123">
            <v>24</v>
          </cell>
          <cell r="K123">
            <v>339</v>
          </cell>
          <cell r="L123">
            <v>5.4</v>
          </cell>
          <cell r="M123">
            <v>6</v>
          </cell>
          <cell r="N123">
            <v>1.1000000000000001</v>
          </cell>
          <cell r="O123">
            <v>0.1</v>
          </cell>
          <cell r="P123">
            <v>1.5</v>
          </cell>
          <cell r="R123">
            <v>176</v>
          </cell>
          <cell r="S123">
            <v>0</v>
          </cell>
          <cell r="T123">
            <v>9.0399999999999991</v>
          </cell>
          <cell r="W123">
            <v>-9.1199999999999992</v>
          </cell>
          <cell r="X123">
            <v>477</v>
          </cell>
          <cell r="Y123">
            <v>0</v>
          </cell>
        </row>
        <row r="124">
          <cell r="B124" t="str">
            <v>RES</v>
          </cell>
          <cell r="C124">
            <v>80734</v>
          </cell>
          <cell r="D124">
            <v>2012</v>
          </cell>
          <cell r="E124">
            <v>90.7</v>
          </cell>
          <cell r="F124">
            <v>371</v>
          </cell>
          <cell r="G124">
            <v>189</v>
          </cell>
          <cell r="H124">
            <v>24</v>
          </cell>
          <cell r="I124">
            <v>74</v>
          </cell>
          <cell r="J124">
            <v>212</v>
          </cell>
          <cell r="K124">
            <v>283</v>
          </cell>
          <cell r="L124">
            <v>14.3</v>
          </cell>
          <cell r="M124">
            <v>14</v>
          </cell>
          <cell r="N124">
            <v>7.2</v>
          </cell>
          <cell r="O124">
            <v>0.7</v>
          </cell>
          <cell r="P124">
            <v>4.5</v>
          </cell>
          <cell r="R124">
            <v>248</v>
          </cell>
          <cell r="S124">
            <v>0</v>
          </cell>
          <cell r="T124">
            <v>7.3</v>
          </cell>
          <cell r="W124">
            <v>19.68</v>
          </cell>
          <cell r="X124">
            <v>248</v>
          </cell>
          <cell r="Y124">
            <v>0</v>
          </cell>
        </row>
        <row r="125">
          <cell r="B125" t="str">
            <v>Stroh, Weizen</v>
          </cell>
          <cell r="C125">
            <v>80735</v>
          </cell>
          <cell r="D125">
            <v>2011</v>
          </cell>
          <cell r="E125">
            <v>90.9</v>
          </cell>
          <cell r="F125">
            <v>65</v>
          </cell>
          <cell r="G125">
            <v>494</v>
          </cell>
          <cell r="H125">
            <v>20</v>
          </cell>
          <cell r="I125">
            <v>72</v>
          </cell>
          <cell r="J125">
            <v>444</v>
          </cell>
          <cell r="K125">
            <v>723</v>
          </cell>
          <cell r="L125">
            <v>1.9</v>
          </cell>
          <cell r="M125">
            <v>13</v>
          </cell>
          <cell r="N125">
            <v>3.4</v>
          </cell>
          <cell r="O125">
            <v>0.1</v>
          </cell>
          <cell r="P125">
            <v>0.8</v>
          </cell>
          <cell r="R125">
            <v>87</v>
          </cell>
          <cell r="S125">
            <v>0</v>
          </cell>
          <cell r="T125">
            <v>3.5</v>
          </cell>
          <cell r="U125">
            <v>4.3</v>
          </cell>
          <cell r="W125">
            <v>-3.52</v>
          </cell>
          <cell r="X125">
            <v>120</v>
          </cell>
          <cell r="Y125">
            <v>0</v>
          </cell>
        </row>
        <row r="126">
          <cell r="B126" t="str">
            <v>RES</v>
          </cell>
          <cell r="C126">
            <v>80736</v>
          </cell>
          <cell r="D126">
            <v>2012</v>
          </cell>
          <cell r="E126">
            <v>87.9</v>
          </cell>
          <cell r="F126">
            <v>379</v>
          </cell>
          <cell r="G126">
            <v>167</v>
          </cell>
          <cell r="H126">
            <v>16</v>
          </cell>
          <cell r="I126">
            <v>72</v>
          </cell>
          <cell r="J126">
            <v>213</v>
          </cell>
          <cell r="K126">
            <v>290</v>
          </cell>
          <cell r="L126">
            <v>14.1</v>
          </cell>
          <cell r="M126">
            <v>14</v>
          </cell>
          <cell r="N126">
            <v>8</v>
          </cell>
          <cell r="O126">
            <v>0.6</v>
          </cell>
          <cell r="P126">
            <v>4.8</v>
          </cell>
          <cell r="R126">
            <v>250</v>
          </cell>
          <cell r="S126">
            <v>0</v>
          </cell>
          <cell r="T126">
            <v>7.28</v>
          </cell>
          <cell r="W126">
            <v>20.64</v>
          </cell>
          <cell r="X126">
            <v>243</v>
          </cell>
          <cell r="Y126">
            <v>0</v>
          </cell>
        </row>
        <row r="127">
          <cell r="B127" t="str">
            <v xml:space="preserve"> Treber</v>
          </cell>
          <cell r="C127">
            <v>80737</v>
          </cell>
          <cell r="D127">
            <v>2012</v>
          </cell>
          <cell r="E127">
            <v>26</v>
          </cell>
          <cell r="F127">
            <v>242</v>
          </cell>
          <cell r="G127">
            <v>311</v>
          </cell>
          <cell r="H127">
            <v>83</v>
          </cell>
          <cell r="I127">
            <v>46</v>
          </cell>
          <cell r="J127">
            <v>293</v>
          </cell>
          <cell r="K127">
            <v>625</v>
          </cell>
          <cell r="L127">
            <v>7.1</v>
          </cell>
          <cell r="M127">
            <v>1</v>
          </cell>
          <cell r="N127">
            <v>4.3</v>
          </cell>
          <cell r="O127">
            <v>0.2</v>
          </cell>
          <cell r="P127">
            <v>1.8</v>
          </cell>
          <cell r="R127">
            <v>202</v>
          </cell>
          <cell r="S127">
            <v>0</v>
          </cell>
          <cell r="T127">
            <v>6.61</v>
          </cell>
          <cell r="U127">
            <v>1</v>
          </cell>
          <cell r="W127">
            <v>6.4</v>
          </cell>
          <cell r="X127">
            <v>4</v>
          </cell>
          <cell r="Y127">
            <v>0</v>
          </cell>
        </row>
        <row r="128">
          <cell r="B128" t="str">
            <v>Silo 8</v>
          </cell>
          <cell r="C128">
            <v>80738</v>
          </cell>
          <cell r="D128">
            <v>2011</v>
          </cell>
          <cell r="E128">
            <v>35.799999999999997</v>
          </cell>
          <cell r="F128">
            <v>90</v>
          </cell>
          <cell r="G128">
            <v>177</v>
          </cell>
          <cell r="H128">
            <v>37</v>
          </cell>
          <cell r="I128">
            <v>45</v>
          </cell>
          <cell r="J128">
            <v>150</v>
          </cell>
          <cell r="K128">
            <v>287</v>
          </cell>
          <cell r="L128">
            <v>3.9</v>
          </cell>
          <cell r="M128">
            <v>11</v>
          </cell>
          <cell r="N128">
            <v>2.7</v>
          </cell>
          <cell r="O128">
            <v>0.1</v>
          </cell>
          <cell r="P128">
            <v>1.1000000000000001</v>
          </cell>
          <cell r="R128">
            <v>146</v>
          </cell>
          <cell r="S128">
            <v>0</v>
          </cell>
          <cell r="T128">
            <v>7.41</v>
          </cell>
          <cell r="U128">
            <v>1.1980800000000003</v>
          </cell>
          <cell r="W128">
            <v>-8.9600000000000009</v>
          </cell>
          <cell r="X128">
            <v>541</v>
          </cell>
          <cell r="Y128">
            <v>0</v>
          </cell>
        </row>
        <row r="129">
          <cell r="B129" t="str">
            <v>Silo 5</v>
          </cell>
          <cell r="C129">
            <v>80739</v>
          </cell>
          <cell r="D129">
            <v>2011</v>
          </cell>
          <cell r="E129">
            <v>28</v>
          </cell>
          <cell r="F129">
            <v>174</v>
          </cell>
          <cell r="G129">
            <v>309</v>
          </cell>
          <cell r="H129">
            <v>39</v>
          </cell>
          <cell r="I129">
            <v>112</v>
          </cell>
          <cell r="J129">
            <v>248</v>
          </cell>
          <cell r="K129">
            <v>355</v>
          </cell>
          <cell r="L129">
            <v>5.0999999999999996</v>
          </cell>
          <cell r="M129">
            <v>29</v>
          </cell>
          <cell r="N129">
            <v>6.6</v>
          </cell>
          <cell r="O129">
            <v>1.2</v>
          </cell>
          <cell r="P129">
            <v>2.4</v>
          </cell>
          <cell r="R129">
            <v>150</v>
          </cell>
          <cell r="S129">
            <v>0</v>
          </cell>
          <cell r="T129">
            <v>6.87</v>
          </cell>
          <cell r="U129">
            <v>2.2799999999999998</v>
          </cell>
          <cell r="V129">
            <v>53</v>
          </cell>
          <cell r="W129">
            <v>3.84</v>
          </cell>
          <cell r="X129">
            <v>320</v>
          </cell>
          <cell r="Y129">
            <v>0</v>
          </cell>
        </row>
        <row r="130">
          <cell r="B130" t="str">
            <v>Pressschnitzel</v>
          </cell>
          <cell r="C130">
            <v>80740</v>
          </cell>
          <cell r="D130">
            <v>2011</v>
          </cell>
          <cell r="E130">
            <v>32.200000000000003</v>
          </cell>
          <cell r="F130">
            <v>82</v>
          </cell>
          <cell r="G130">
            <v>309</v>
          </cell>
          <cell r="H130">
            <v>7</v>
          </cell>
          <cell r="I130">
            <v>61</v>
          </cell>
          <cell r="J130">
            <v>219</v>
          </cell>
          <cell r="K130">
            <v>514</v>
          </cell>
          <cell r="L130">
            <v>1.2</v>
          </cell>
          <cell r="M130">
            <v>3</v>
          </cell>
          <cell r="N130">
            <v>10.1</v>
          </cell>
          <cell r="O130">
            <v>0.5</v>
          </cell>
          <cell r="P130">
            <v>2.2000000000000002</v>
          </cell>
          <cell r="R130">
            <v>142</v>
          </cell>
          <cell r="S130">
            <v>0</v>
          </cell>
          <cell r="T130">
            <v>7.33</v>
          </cell>
          <cell r="W130">
            <v>-9.6</v>
          </cell>
          <cell r="X130">
            <v>336</v>
          </cell>
          <cell r="Y130">
            <v>0</v>
          </cell>
        </row>
        <row r="131">
          <cell r="B131" t="str">
            <v>WGM 30/35/35</v>
          </cell>
          <cell r="C131">
            <v>80741</v>
          </cell>
          <cell r="D131">
            <v>2011</v>
          </cell>
          <cell r="E131">
            <v>89.2</v>
          </cell>
          <cell r="F131">
            <v>121</v>
          </cell>
          <cell r="G131">
            <v>31</v>
          </cell>
          <cell r="H131">
            <v>36</v>
          </cell>
          <cell r="I131">
            <v>25</v>
          </cell>
          <cell r="J131">
            <v>24</v>
          </cell>
          <cell r="K131">
            <v>254</v>
          </cell>
          <cell r="L131">
            <v>4.9000000000000004</v>
          </cell>
          <cell r="M131">
            <v>6</v>
          </cell>
          <cell r="N131">
            <v>1.2</v>
          </cell>
          <cell r="O131">
            <v>0.1</v>
          </cell>
          <cell r="P131">
            <v>1.3</v>
          </cell>
          <cell r="R131">
            <v>176</v>
          </cell>
          <cell r="S131">
            <v>0</v>
          </cell>
          <cell r="T131">
            <v>9.0399999999999991</v>
          </cell>
          <cell r="W131">
            <v>-8.8000000000000007</v>
          </cell>
          <cell r="X131">
            <v>564</v>
          </cell>
          <cell r="Y131">
            <v>0</v>
          </cell>
        </row>
        <row r="132">
          <cell r="B132" t="str">
            <v>RES</v>
          </cell>
          <cell r="C132">
            <v>80742</v>
          </cell>
          <cell r="D132">
            <v>2011</v>
          </cell>
          <cell r="E132">
            <v>90.6</v>
          </cell>
          <cell r="F132">
            <v>368</v>
          </cell>
          <cell r="G132">
            <v>212</v>
          </cell>
          <cell r="H132">
            <v>21</v>
          </cell>
          <cell r="I132">
            <v>78</v>
          </cell>
          <cell r="J132">
            <v>221</v>
          </cell>
          <cell r="K132">
            <v>289</v>
          </cell>
          <cell r="L132">
            <v>14.3</v>
          </cell>
          <cell r="M132">
            <v>14</v>
          </cell>
          <cell r="N132">
            <v>7.8</v>
          </cell>
          <cell r="O132">
            <v>0.6</v>
          </cell>
          <cell r="P132">
            <v>4.5</v>
          </cell>
          <cell r="R132">
            <v>246</v>
          </cell>
          <cell r="S132">
            <v>0</v>
          </cell>
          <cell r="T132">
            <v>7.23</v>
          </cell>
          <cell r="W132">
            <v>19.52</v>
          </cell>
          <cell r="X132">
            <v>244</v>
          </cell>
          <cell r="Y132">
            <v>0</v>
          </cell>
        </row>
        <row r="133">
          <cell r="B133" t="str">
            <v xml:space="preserve"> Treber</v>
          </cell>
          <cell r="C133">
            <v>80745</v>
          </cell>
          <cell r="D133">
            <v>2012</v>
          </cell>
          <cell r="E133">
            <v>24</v>
          </cell>
          <cell r="F133">
            <v>261</v>
          </cell>
          <cell r="G133">
            <v>150</v>
          </cell>
          <cell r="H133">
            <v>89</v>
          </cell>
          <cell r="I133">
            <v>43</v>
          </cell>
          <cell r="J133">
            <v>246</v>
          </cell>
          <cell r="K133">
            <v>576</v>
          </cell>
          <cell r="L133">
            <v>8.1999999999999993</v>
          </cell>
          <cell r="M133">
            <v>2</v>
          </cell>
          <cell r="N133">
            <v>4.7</v>
          </cell>
          <cell r="O133">
            <v>0.2</v>
          </cell>
          <cell r="P133">
            <v>2.2000000000000002</v>
          </cell>
          <cell r="R133">
            <v>213</v>
          </cell>
          <cell r="S133">
            <v>0</v>
          </cell>
          <cell r="T133">
            <v>6.81</v>
          </cell>
          <cell r="U133">
            <v>1</v>
          </cell>
          <cell r="W133">
            <v>7.68</v>
          </cell>
          <cell r="X133">
            <v>31</v>
          </cell>
          <cell r="Y133">
            <v>0</v>
          </cell>
        </row>
        <row r="134">
          <cell r="B134" t="str">
            <v>Silo 3 G</v>
          </cell>
          <cell r="C134">
            <v>80747</v>
          </cell>
          <cell r="D134">
            <v>2012</v>
          </cell>
          <cell r="E134">
            <v>26.8</v>
          </cell>
          <cell r="F134">
            <v>169</v>
          </cell>
          <cell r="G134">
            <v>246</v>
          </cell>
          <cell r="H134">
            <v>35</v>
          </cell>
          <cell r="I134">
            <v>119</v>
          </cell>
          <cell r="J134">
            <v>259</v>
          </cell>
          <cell r="K134">
            <v>405</v>
          </cell>
          <cell r="L134">
            <v>5.3</v>
          </cell>
          <cell r="M134">
            <v>33</v>
          </cell>
          <cell r="N134">
            <v>6.9</v>
          </cell>
          <cell r="O134">
            <v>1</v>
          </cell>
          <cell r="P134">
            <v>2.2000000000000002</v>
          </cell>
          <cell r="R134">
            <v>145</v>
          </cell>
          <cell r="S134">
            <v>0</v>
          </cell>
          <cell r="T134">
            <v>6.63</v>
          </cell>
          <cell r="U134">
            <v>2.58</v>
          </cell>
          <cell r="W134">
            <v>3.84</v>
          </cell>
          <cell r="X134">
            <v>272</v>
          </cell>
          <cell r="Y134">
            <v>0</v>
          </cell>
        </row>
        <row r="135">
          <cell r="B135" t="str">
            <v>Silo 9</v>
          </cell>
          <cell r="C135">
            <v>80748</v>
          </cell>
          <cell r="D135">
            <v>2012</v>
          </cell>
          <cell r="E135">
            <v>36.200000000000003</v>
          </cell>
          <cell r="F135">
            <v>162</v>
          </cell>
          <cell r="G135">
            <v>251</v>
          </cell>
          <cell r="H135">
            <v>31</v>
          </cell>
          <cell r="I135">
            <v>115</v>
          </cell>
          <cell r="J135">
            <v>260</v>
          </cell>
          <cell r="K135">
            <v>452</v>
          </cell>
          <cell r="L135">
            <v>5.4</v>
          </cell>
          <cell r="M135">
            <v>34</v>
          </cell>
          <cell r="N135">
            <v>5.9</v>
          </cell>
          <cell r="O135">
            <v>1</v>
          </cell>
          <cell r="P135">
            <v>2.2000000000000002</v>
          </cell>
          <cell r="R135">
            <v>144</v>
          </cell>
          <cell r="S135">
            <v>0</v>
          </cell>
          <cell r="T135">
            <v>6.62</v>
          </cell>
          <cell r="U135">
            <v>2.8620000000000001</v>
          </cell>
          <cell r="W135">
            <v>2.88</v>
          </cell>
          <cell r="X135">
            <v>240</v>
          </cell>
          <cell r="Y135">
            <v>0</v>
          </cell>
        </row>
        <row r="136">
          <cell r="B136" t="str">
            <v>RES</v>
          </cell>
          <cell r="C136">
            <v>80749</v>
          </cell>
          <cell r="D136">
            <v>2012</v>
          </cell>
          <cell r="E136">
            <v>87.6</v>
          </cell>
          <cell r="F136">
            <v>392</v>
          </cell>
          <cell r="G136">
            <v>115</v>
          </cell>
          <cell r="H136">
            <v>10</v>
          </cell>
          <cell r="I136">
            <v>75</v>
          </cell>
          <cell r="J136">
            <v>184</v>
          </cell>
          <cell r="K136">
            <v>280</v>
          </cell>
          <cell r="L136">
            <v>15.9</v>
          </cell>
          <cell r="M136">
            <v>15</v>
          </cell>
          <cell r="N136">
            <v>8.1</v>
          </cell>
          <cell r="O136">
            <v>0.7</v>
          </cell>
          <cell r="P136">
            <v>5</v>
          </cell>
          <cell r="R136">
            <v>255</v>
          </cell>
          <cell r="S136">
            <v>0</v>
          </cell>
          <cell r="T136">
            <v>7.26</v>
          </cell>
          <cell r="W136">
            <v>21.92</v>
          </cell>
          <cell r="X136">
            <v>243</v>
          </cell>
          <cell r="Y136">
            <v>0</v>
          </cell>
        </row>
        <row r="137">
          <cell r="B137" t="str">
            <v>Silo 5</v>
          </cell>
          <cell r="C137">
            <v>80754</v>
          </cell>
          <cell r="D137">
            <v>2011</v>
          </cell>
          <cell r="E137">
            <v>29.4</v>
          </cell>
          <cell r="F137">
            <v>207</v>
          </cell>
          <cell r="G137">
            <v>252</v>
          </cell>
          <cell r="H137">
            <v>46</v>
          </cell>
          <cell r="I137">
            <v>104</v>
          </cell>
          <cell r="J137">
            <v>205</v>
          </cell>
          <cell r="K137">
            <v>376</v>
          </cell>
          <cell r="L137">
            <v>4.4000000000000004</v>
          </cell>
          <cell r="M137">
            <v>27</v>
          </cell>
          <cell r="N137">
            <v>7.4</v>
          </cell>
          <cell r="O137">
            <v>2.7</v>
          </cell>
          <cell r="P137">
            <v>2.4</v>
          </cell>
          <cell r="R137">
            <v>160</v>
          </cell>
          <cell r="S137">
            <v>0</v>
          </cell>
          <cell r="T137">
            <v>7.2</v>
          </cell>
          <cell r="U137">
            <v>2.4060000000000001</v>
          </cell>
          <cell r="V137">
            <v>8</v>
          </cell>
          <cell r="W137">
            <v>7.52</v>
          </cell>
          <cell r="X137">
            <v>267</v>
          </cell>
          <cell r="Y137">
            <v>0</v>
          </cell>
        </row>
        <row r="138">
          <cell r="B138" t="str">
            <v>Silo 8</v>
          </cell>
          <cell r="C138">
            <v>80769</v>
          </cell>
          <cell r="D138">
            <v>2011</v>
          </cell>
          <cell r="E138">
            <v>35.700000000000003</v>
          </cell>
          <cell r="F138">
            <v>79</v>
          </cell>
          <cell r="G138">
            <v>148</v>
          </cell>
          <cell r="H138">
            <v>35</v>
          </cell>
          <cell r="I138">
            <v>44</v>
          </cell>
          <cell r="J138">
            <v>142</v>
          </cell>
          <cell r="K138">
            <v>354</v>
          </cell>
          <cell r="L138">
            <v>3.6</v>
          </cell>
          <cell r="M138">
            <v>11</v>
          </cell>
          <cell r="N138">
            <v>2.5</v>
          </cell>
          <cell r="O138">
            <v>0.2</v>
          </cell>
          <cell r="P138">
            <v>0.9</v>
          </cell>
          <cell r="R138">
            <v>140</v>
          </cell>
          <cell r="S138">
            <v>0</v>
          </cell>
          <cell r="T138">
            <v>7.15</v>
          </cell>
          <cell r="U138">
            <v>1.6161600000000003</v>
          </cell>
          <cell r="V138">
            <v>10</v>
          </cell>
          <cell r="W138">
            <v>-9.76</v>
          </cell>
          <cell r="X138">
            <v>488</v>
          </cell>
          <cell r="Y138">
            <v>0</v>
          </cell>
        </row>
        <row r="139">
          <cell r="B139" t="str">
            <v>Silo 3 G</v>
          </cell>
          <cell r="C139">
            <v>80770</v>
          </cell>
          <cell r="D139">
            <v>2012</v>
          </cell>
          <cell r="F139">
            <v>176</v>
          </cell>
          <cell r="G139">
            <v>218</v>
          </cell>
          <cell r="H139">
            <v>28</v>
          </cell>
          <cell r="I139">
            <v>117</v>
          </cell>
          <cell r="J139">
            <v>224</v>
          </cell>
          <cell r="K139">
            <v>395</v>
          </cell>
          <cell r="L139">
            <v>4.4000000000000004</v>
          </cell>
          <cell r="M139">
            <v>24</v>
          </cell>
          <cell r="N139">
            <v>5.9</v>
          </cell>
          <cell r="O139">
            <v>2.1</v>
          </cell>
          <cell r="P139">
            <v>2.2999999999999998</v>
          </cell>
          <cell r="R139">
            <v>147</v>
          </cell>
          <cell r="S139">
            <v>0</v>
          </cell>
          <cell r="T139">
            <v>6.69</v>
          </cell>
          <cell r="U139">
            <v>2.52</v>
          </cell>
          <cell r="V139">
            <v>63</v>
          </cell>
          <cell r="W139">
            <v>4.6399999999999997</v>
          </cell>
          <cell r="X139">
            <v>284</v>
          </cell>
          <cell r="Y139">
            <v>0</v>
          </cell>
        </row>
        <row r="140">
          <cell r="B140" t="str">
            <v>RES</v>
          </cell>
          <cell r="C140">
            <v>80771</v>
          </cell>
          <cell r="D140">
            <v>2012</v>
          </cell>
          <cell r="E140">
            <v>87.9</v>
          </cell>
          <cell r="F140">
            <v>377</v>
          </cell>
          <cell r="G140">
            <v>130</v>
          </cell>
          <cell r="H140">
            <v>11</v>
          </cell>
          <cell r="I140">
            <v>72</v>
          </cell>
          <cell r="J140">
            <v>205</v>
          </cell>
          <cell r="K140">
            <v>302</v>
          </cell>
          <cell r="L140">
            <v>15.1</v>
          </cell>
          <cell r="M140">
            <v>13</v>
          </cell>
          <cell r="N140">
            <v>8</v>
          </cell>
          <cell r="O140">
            <v>0.6</v>
          </cell>
          <cell r="P140">
            <v>4.7</v>
          </cell>
          <cell r="R140">
            <v>249</v>
          </cell>
          <cell r="S140">
            <v>0</v>
          </cell>
          <cell r="T140">
            <v>7.25</v>
          </cell>
          <cell r="W140">
            <v>20.48</v>
          </cell>
          <cell r="X140">
            <v>238</v>
          </cell>
          <cell r="Y140">
            <v>0</v>
          </cell>
        </row>
        <row r="141">
          <cell r="B141" t="str">
            <v>Silo 3 G</v>
          </cell>
          <cell r="C141">
            <v>80772</v>
          </cell>
          <cell r="D141">
            <v>2012</v>
          </cell>
          <cell r="E141">
            <v>34.6</v>
          </cell>
          <cell r="F141">
            <v>180</v>
          </cell>
          <cell r="G141">
            <v>242</v>
          </cell>
          <cell r="H141">
            <v>39</v>
          </cell>
          <cell r="I141">
            <v>125</v>
          </cell>
          <cell r="J141">
            <v>234</v>
          </cell>
          <cell r="K141">
            <v>410</v>
          </cell>
          <cell r="L141">
            <v>5.2</v>
          </cell>
          <cell r="M141">
            <v>30</v>
          </cell>
          <cell r="N141">
            <v>6.9</v>
          </cell>
          <cell r="O141">
            <v>1.3</v>
          </cell>
          <cell r="P141">
            <v>2.6</v>
          </cell>
          <cell r="R141">
            <v>147</v>
          </cell>
          <cell r="S141">
            <v>0</v>
          </cell>
          <cell r="T141">
            <v>6.69</v>
          </cell>
          <cell r="U141">
            <v>2.61</v>
          </cell>
          <cell r="V141">
            <v>29</v>
          </cell>
          <cell r="W141">
            <v>5.28</v>
          </cell>
          <cell r="X141">
            <v>246</v>
          </cell>
          <cell r="Y141">
            <v>0</v>
          </cell>
        </row>
        <row r="142">
          <cell r="B142" t="str">
            <v>Silo 4</v>
          </cell>
          <cell r="C142">
            <v>80773</v>
          </cell>
          <cell r="D142">
            <v>2011</v>
          </cell>
          <cell r="E142">
            <v>33.299999999999997</v>
          </cell>
          <cell r="F142">
            <v>86</v>
          </cell>
          <cell r="G142">
            <v>159</v>
          </cell>
          <cell r="H142">
            <v>37</v>
          </cell>
          <cell r="I142">
            <v>44</v>
          </cell>
          <cell r="J142">
            <v>171</v>
          </cell>
          <cell r="K142">
            <v>446</v>
          </cell>
          <cell r="L142">
            <v>4.2</v>
          </cell>
          <cell r="M142">
            <v>9</v>
          </cell>
          <cell r="N142">
            <v>3.4</v>
          </cell>
          <cell r="O142">
            <v>0.3</v>
          </cell>
          <cell r="P142">
            <v>1.4</v>
          </cell>
          <cell r="R142">
            <v>138</v>
          </cell>
          <cell r="S142">
            <v>0</v>
          </cell>
          <cell r="T142">
            <v>6.91</v>
          </cell>
          <cell r="U142">
            <v>2.1902400000000002</v>
          </cell>
          <cell r="V142">
            <v>8</v>
          </cell>
          <cell r="W142">
            <v>-8.32</v>
          </cell>
          <cell r="X142">
            <v>387</v>
          </cell>
          <cell r="Y142">
            <v>0</v>
          </cell>
        </row>
        <row r="143">
          <cell r="B143" t="str">
            <v>Silo 3 G</v>
          </cell>
          <cell r="C143">
            <v>80774</v>
          </cell>
          <cell r="D143">
            <v>2012</v>
          </cell>
          <cell r="E143">
            <v>36.799999999999997</v>
          </cell>
          <cell r="F143">
            <v>165</v>
          </cell>
          <cell r="G143">
            <v>238</v>
          </cell>
          <cell r="H143">
            <v>33</v>
          </cell>
          <cell r="I143">
            <v>123</v>
          </cell>
          <cell r="J143">
            <v>242</v>
          </cell>
          <cell r="K143">
            <v>418</v>
          </cell>
          <cell r="L143">
            <v>4.9000000000000004</v>
          </cell>
          <cell r="M143">
            <v>25</v>
          </cell>
          <cell r="N143">
            <v>5.5</v>
          </cell>
          <cell r="O143">
            <v>1.3</v>
          </cell>
          <cell r="P143">
            <v>2.2000000000000002</v>
          </cell>
          <cell r="R143">
            <v>142</v>
          </cell>
          <cell r="S143">
            <v>0</v>
          </cell>
          <cell r="T143">
            <v>6.47</v>
          </cell>
          <cell r="U143">
            <v>2.6579999999999999</v>
          </cell>
          <cell r="W143">
            <v>3.68</v>
          </cell>
          <cell r="X143">
            <v>261</v>
          </cell>
          <cell r="Y143">
            <v>0</v>
          </cell>
        </row>
        <row r="144">
          <cell r="B144" t="str">
            <v>Silo 4</v>
          </cell>
          <cell r="C144">
            <v>80775</v>
          </cell>
          <cell r="D144">
            <v>2011</v>
          </cell>
          <cell r="E144">
            <v>30.8</v>
          </cell>
          <cell r="F144">
            <v>80</v>
          </cell>
          <cell r="G144">
            <v>156</v>
          </cell>
          <cell r="H144">
            <v>38</v>
          </cell>
          <cell r="I144">
            <v>46</v>
          </cell>
          <cell r="J144">
            <v>162</v>
          </cell>
          <cell r="K144">
            <v>453</v>
          </cell>
          <cell r="L144">
            <v>3.6</v>
          </cell>
          <cell r="M144">
            <v>9</v>
          </cell>
          <cell r="N144">
            <v>3</v>
          </cell>
          <cell r="O144">
            <v>0.2</v>
          </cell>
          <cell r="P144">
            <v>1.2</v>
          </cell>
          <cell r="R144">
            <v>137</v>
          </cell>
          <cell r="S144">
            <v>0</v>
          </cell>
          <cell r="T144">
            <v>6.93</v>
          </cell>
          <cell r="U144">
            <v>2.2339200000000003</v>
          </cell>
          <cell r="W144">
            <v>-9.1199999999999992</v>
          </cell>
          <cell r="X144">
            <v>383</v>
          </cell>
          <cell r="Y144">
            <v>0</v>
          </cell>
        </row>
        <row r="145">
          <cell r="B145" t="str">
            <v>Ackerbohnen</v>
          </cell>
          <cell r="C145">
            <v>80776</v>
          </cell>
          <cell r="D145">
            <v>2012</v>
          </cell>
          <cell r="E145">
            <v>89</v>
          </cell>
          <cell r="F145">
            <v>268</v>
          </cell>
          <cell r="G145">
            <v>188</v>
          </cell>
          <cell r="H145">
            <v>15</v>
          </cell>
          <cell r="I145">
            <v>38</v>
          </cell>
          <cell r="J145">
            <v>132</v>
          </cell>
          <cell r="K145">
            <v>180</v>
          </cell>
          <cell r="L145">
            <v>7.9</v>
          </cell>
          <cell r="M145">
            <v>13</v>
          </cell>
          <cell r="N145">
            <v>2</v>
          </cell>
          <cell r="O145">
            <v>0.2</v>
          </cell>
          <cell r="P145">
            <v>1.7</v>
          </cell>
          <cell r="R145">
            <v>189</v>
          </cell>
          <cell r="S145">
            <v>0</v>
          </cell>
          <cell r="T145">
            <v>8.52</v>
          </cell>
          <cell r="U145">
            <v>0.19</v>
          </cell>
          <cell r="V145">
            <v>40</v>
          </cell>
          <cell r="W145">
            <v>12.64</v>
          </cell>
          <cell r="X145">
            <v>499</v>
          </cell>
          <cell r="Y145">
            <v>0</v>
          </cell>
        </row>
        <row r="146">
          <cell r="B146" t="str">
            <v>Silo 1</v>
          </cell>
          <cell r="C146">
            <v>80777</v>
          </cell>
          <cell r="D146">
            <v>2012</v>
          </cell>
          <cell r="E146">
            <v>42.3</v>
          </cell>
          <cell r="F146">
            <v>144</v>
          </cell>
          <cell r="G146">
            <v>324</v>
          </cell>
          <cell r="H146">
            <v>39</v>
          </cell>
          <cell r="I146">
            <v>137</v>
          </cell>
          <cell r="J146">
            <v>259</v>
          </cell>
          <cell r="K146">
            <v>427</v>
          </cell>
          <cell r="L146">
            <v>6.4</v>
          </cell>
          <cell r="M146">
            <v>42</v>
          </cell>
          <cell r="N146">
            <v>5.8</v>
          </cell>
          <cell r="O146">
            <v>0.6</v>
          </cell>
          <cell r="P146">
            <v>2</v>
          </cell>
          <cell r="R146">
            <v>139</v>
          </cell>
          <cell r="S146">
            <v>0</v>
          </cell>
          <cell r="T146">
            <v>6.49</v>
          </cell>
          <cell r="U146">
            <v>2.7119999999999997</v>
          </cell>
          <cell r="V146">
            <v>28</v>
          </cell>
          <cell r="W146">
            <v>0.8</v>
          </cell>
          <cell r="X146">
            <v>253</v>
          </cell>
          <cell r="Y146">
            <v>0</v>
          </cell>
        </row>
        <row r="147">
          <cell r="B147" t="str">
            <v>Silo 2</v>
          </cell>
          <cell r="C147">
            <v>80778</v>
          </cell>
          <cell r="D147">
            <v>2012</v>
          </cell>
          <cell r="E147">
            <v>39.1</v>
          </cell>
          <cell r="F147">
            <v>151</v>
          </cell>
          <cell r="G147">
            <v>318</v>
          </cell>
          <cell r="H147">
            <v>33</v>
          </cell>
          <cell r="I147">
            <v>144</v>
          </cell>
          <cell r="J147">
            <v>264</v>
          </cell>
          <cell r="K147">
            <v>480</v>
          </cell>
          <cell r="L147">
            <v>4.5999999999999996</v>
          </cell>
          <cell r="M147">
            <v>27</v>
          </cell>
          <cell r="N147">
            <v>7.2</v>
          </cell>
          <cell r="O147">
            <v>2</v>
          </cell>
          <cell r="P147">
            <v>2</v>
          </cell>
          <cell r="Q147">
            <v>0</v>
          </cell>
          <cell r="R147">
            <v>136</v>
          </cell>
          <cell r="S147">
            <v>0</v>
          </cell>
          <cell r="T147">
            <v>6.26</v>
          </cell>
          <cell r="U147">
            <v>3.03</v>
          </cell>
          <cell r="V147">
            <v>63</v>
          </cell>
          <cell r="W147">
            <v>2.4</v>
          </cell>
          <cell r="X147">
            <v>192</v>
          </cell>
          <cell r="Y147">
            <v>0</v>
          </cell>
        </row>
        <row r="148">
          <cell r="B148" t="str">
            <v>Silo 7</v>
          </cell>
          <cell r="C148">
            <v>80779</v>
          </cell>
          <cell r="D148">
            <v>2012</v>
          </cell>
          <cell r="E148">
            <v>29.1</v>
          </cell>
          <cell r="F148">
            <v>150</v>
          </cell>
          <cell r="G148">
            <v>335</v>
          </cell>
          <cell r="H148">
            <v>32</v>
          </cell>
          <cell r="I148">
            <v>101</v>
          </cell>
          <cell r="J148">
            <v>301</v>
          </cell>
          <cell r="K148">
            <v>505</v>
          </cell>
          <cell r="L148">
            <v>5.3</v>
          </cell>
          <cell r="M148">
            <v>22</v>
          </cell>
          <cell r="N148">
            <v>7.3</v>
          </cell>
          <cell r="O148">
            <v>1.3</v>
          </cell>
          <cell r="P148">
            <v>2.5</v>
          </cell>
          <cell r="R148">
            <v>132</v>
          </cell>
          <cell r="S148">
            <v>0</v>
          </cell>
          <cell r="T148">
            <v>5.94</v>
          </cell>
          <cell r="U148">
            <v>3.18</v>
          </cell>
          <cell r="V148">
            <v>52</v>
          </cell>
          <cell r="W148">
            <v>2.88</v>
          </cell>
          <cell r="X148">
            <v>212</v>
          </cell>
          <cell r="Y148">
            <v>0</v>
          </cell>
        </row>
        <row r="149">
          <cell r="B149" t="str">
            <v>(Silo 7)</v>
          </cell>
          <cell r="C149">
            <v>80780</v>
          </cell>
          <cell r="D149">
            <v>2012</v>
          </cell>
          <cell r="E149">
            <v>19.8</v>
          </cell>
          <cell r="F149">
            <v>240</v>
          </cell>
          <cell r="G149">
            <v>336</v>
          </cell>
          <cell r="H149">
            <v>50</v>
          </cell>
          <cell r="I149">
            <v>186</v>
          </cell>
          <cell r="J149">
            <v>261</v>
          </cell>
          <cell r="K149">
            <v>419</v>
          </cell>
          <cell r="L149">
            <v>7.8</v>
          </cell>
          <cell r="M149">
            <v>50</v>
          </cell>
          <cell r="N149">
            <v>7.8</v>
          </cell>
          <cell r="O149">
            <v>0.6</v>
          </cell>
          <cell r="P149">
            <v>2.7</v>
          </cell>
          <cell r="Q149">
            <v>0</v>
          </cell>
          <cell r="R149">
            <v>151</v>
          </cell>
          <cell r="S149">
            <v>0</v>
          </cell>
          <cell r="T149">
            <v>6.38</v>
          </cell>
          <cell r="U149">
            <v>2.6640000000000001</v>
          </cell>
          <cell r="V149">
            <v>0</v>
          </cell>
          <cell r="W149">
            <v>14.24</v>
          </cell>
          <cell r="X149">
            <v>105</v>
          </cell>
          <cell r="Y149">
            <v>0</v>
          </cell>
        </row>
        <row r="150">
          <cell r="B150" t="str">
            <v>RES</v>
          </cell>
          <cell r="C150">
            <v>80782</v>
          </cell>
          <cell r="D150">
            <v>2012</v>
          </cell>
          <cell r="E150">
            <v>88</v>
          </cell>
          <cell r="F150">
            <v>393</v>
          </cell>
          <cell r="G150">
            <v>127</v>
          </cell>
          <cell r="H150">
            <v>15</v>
          </cell>
          <cell r="I150">
            <v>78</v>
          </cell>
          <cell r="J150">
            <v>195</v>
          </cell>
          <cell r="K150">
            <v>270</v>
          </cell>
          <cell r="L150">
            <v>16.8</v>
          </cell>
          <cell r="M150">
            <v>14</v>
          </cell>
          <cell r="N150">
            <v>8.1</v>
          </cell>
          <cell r="O150">
            <v>0.6</v>
          </cell>
          <cell r="P150">
            <v>5</v>
          </cell>
          <cell r="R150">
            <v>255</v>
          </cell>
          <cell r="S150">
            <v>0</v>
          </cell>
          <cell r="T150">
            <v>7.26</v>
          </cell>
          <cell r="U150">
            <v>0.36</v>
          </cell>
          <cell r="V150">
            <v>80</v>
          </cell>
          <cell r="W150">
            <v>22.08</v>
          </cell>
          <cell r="X150">
            <v>244</v>
          </cell>
          <cell r="Y150">
            <v>0</v>
          </cell>
        </row>
        <row r="151">
          <cell r="B151" t="str">
            <v>SES</v>
          </cell>
          <cell r="C151">
            <v>80783</v>
          </cell>
          <cell r="D151">
            <v>2012</v>
          </cell>
          <cell r="E151">
            <v>88.6</v>
          </cell>
          <cell r="F151">
            <v>484</v>
          </cell>
          <cell r="G151">
            <v>88</v>
          </cell>
          <cell r="H151">
            <v>13</v>
          </cell>
          <cell r="I151">
            <v>64</v>
          </cell>
          <cell r="J151">
            <v>110</v>
          </cell>
          <cell r="K151">
            <v>218</v>
          </cell>
          <cell r="L151">
            <v>8.4</v>
          </cell>
          <cell r="M151">
            <v>21</v>
          </cell>
          <cell r="N151">
            <v>4</v>
          </cell>
          <cell r="O151">
            <v>0.2</v>
          </cell>
          <cell r="P151">
            <v>3.8</v>
          </cell>
          <cell r="R151">
            <v>285</v>
          </cell>
          <cell r="S151">
            <v>0</v>
          </cell>
          <cell r="T151">
            <v>8.6199999999999992</v>
          </cell>
          <cell r="U151">
            <v>0.23</v>
          </cell>
          <cell r="V151">
            <v>115</v>
          </cell>
          <cell r="W151">
            <v>31.84</v>
          </cell>
          <cell r="X151">
            <v>221</v>
          </cell>
          <cell r="Y151">
            <v>0</v>
          </cell>
        </row>
        <row r="152">
          <cell r="B152" t="str">
            <v>RES</v>
          </cell>
          <cell r="C152">
            <v>80784</v>
          </cell>
          <cell r="D152">
            <v>2012</v>
          </cell>
          <cell r="E152">
            <v>88.4</v>
          </cell>
          <cell r="F152">
            <v>374</v>
          </cell>
          <cell r="G152">
            <v>124</v>
          </cell>
          <cell r="H152">
            <v>13</v>
          </cell>
          <cell r="I152">
            <v>78</v>
          </cell>
          <cell r="J152">
            <v>185</v>
          </cell>
          <cell r="K152">
            <v>273</v>
          </cell>
          <cell r="L152">
            <v>15.8</v>
          </cell>
          <cell r="M152">
            <v>14</v>
          </cell>
          <cell r="N152">
            <v>8</v>
          </cell>
          <cell r="O152">
            <v>1</v>
          </cell>
          <cell r="P152">
            <v>5.2</v>
          </cell>
          <cell r="R152">
            <v>248</v>
          </cell>
          <cell r="S152">
            <v>0</v>
          </cell>
          <cell r="T152">
            <v>7.23</v>
          </cell>
          <cell r="W152">
            <v>20.16</v>
          </cell>
          <cell r="X152">
            <v>262</v>
          </cell>
          <cell r="Y152">
            <v>0</v>
          </cell>
        </row>
        <row r="153">
          <cell r="B153" t="str">
            <v>SES</v>
          </cell>
          <cell r="C153">
            <v>80785</v>
          </cell>
          <cell r="D153">
            <v>2012</v>
          </cell>
          <cell r="E153">
            <v>88.5</v>
          </cell>
          <cell r="F153">
            <v>483</v>
          </cell>
          <cell r="G153">
            <v>92</v>
          </cell>
          <cell r="H153">
            <v>13</v>
          </cell>
          <cell r="I153">
            <v>66</v>
          </cell>
          <cell r="J153">
            <v>122</v>
          </cell>
          <cell r="K153">
            <v>223</v>
          </cell>
          <cell r="L153">
            <v>8.1</v>
          </cell>
          <cell r="M153">
            <v>21</v>
          </cell>
          <cell r="N153">
            <v>3.5</v>
          </cell>
          <cell r="O153">
            <v>0.5</v>
          </cell>
          <cell r="P153">
            <v>3.6</v>
          </cell>
          <cell r="R153">
            <v>285</v>
          </cell>
          <cell r="S153">
            <v>0</v>
          </cell>
          <cell r="T153">
            <v>8.6</v>
          </cell>
          <cell r="W153">
            <v>31.68</v>
          </cell>
          <cell r="X153">
            <v>215</v>
          </cell>
          <cell r="Y153">
            <v>0</v>
          </cell>
        </row>
        <row r="154">
          <cell r="B154" t="str">
            <v>WG 46,5/46,5</v>
          </cell>
          <cell r="C154">
            <v>80786</v>
          </cell>
          <cell r="D154">
            <v>2012</v>
          </cell>
          <cell r="E154">
            <v>89.1</v>
          </cell>
          <cell r="F154">
            <v>119</v>
          </cell>
          <cell r="G154">
            <v>113</v>
          </cell>
          <cell r="H154">
            <v>33</v>
          </cell>
          <cell r="I154">
            <v>68</v>
          </cell>
          <cell r="J154">
            <v>26</v>
          </cell>
          <cell r="K154">
            <v>388</v>
          </cell>
          <cell r="L154">
            <v>6.5</v>
          </cell>
          <cell r="M154">
            <v>6.5</v>
          </cell>
          <cell r="N154">
            <v>6.2</v>
          </cell>
          <cell r="O154">
            <v>8.4</v>
          </cell>
          <cell r="P154">
            <v>2.2000000000000002</v>
          </cell>
          <cell r="R154">
            <v>163</v>
          </cell>
          <cell r="S154">
            <v>0</v>
          </cell>
          <cell r="T154">
            <v>7.97</v>
          </cell>
          <cell r="W154">
            <v>-7.04</v>
          </cell>
          <cell r="X154">
            <v>392</v>
          </cell>
          <cell r="Y154">
            <v>0</v>
          </cell>
        </row>
        <row r="155">
          <cell r="B155" t="str">
            <v>Stroh, Gerste</v>
          </cell>
          <cell r="C155">
            <v>80787</v>
          </cell>
          <cell r="D155">
            <v>2012</v>
          </cell>
          <cell r="E155">
            <v>89.4</v>
          </cell>
          <cell r="F155">
            <v>53</v>
          </cell>
          <cell r="G155">
            <v>462</v>
          </cell>
          <cell r="H155">
            <v>16</v>
          </cell>
          <cell r="I155">
            <v>51</v>
          </cell>
          <cell r="J155">
            <v>484</v>
          </cell>
          <cell r="K155">
            <v>767</v>
          </cell>
          <cell r="L155">
            <v>1.3</v>
          </cell>
          <cell r="M155">
            <v>12</v>
          </cell>
          <cell r="N155">
            <v>4.5</v>
          </cell>
          <cell r="O155">
            <v>0.6</v>
          </cell>
          <cell r="P155">
            <v>0.9</v>
          </cell>
          <cell r="R155">
            <v>86</v>
          </cell>
          <cell r="S155">
            <v>0</v>
          </cell>
          <cell r="T155">
            <v>3.83</v>
          </cell>
          <cell r="U155">
            <v>4.3</v>
          </cell>
          <cell r="W155">
            <v>-5.28</v>
          </cell>
          <cell r="X155">
            <v>113</v>
          </cell>
          <cell r="Y155">
            <v>0</v>
          </cell>
        </row>
        <row r="156">
          <cell r="B156" t="str">
            <v>Heu, 2. S.</v>
          </cell>
          <cell r="C156">
            <v>80788</v>
          </cell>
          <cell r="D156">
            <v>2012</v>
          </cell>
          <cell r="E156">
            <v>90</v>
          </cell>
          <cell r="F156">
            <v>111</v>
          </cell>
          <cell r="G156">
            <v>299</v>
          </cell>
          <cell r="H156">
            <v>24</v>
          </cell>
          <cell r="I156">
            <v>68</v>
          </cell>
          <cell r="J156">
            <v>293</v>
          </cell>
          <cell r="K156">
            <v>526</v>
          </cell>
          <cell r="L156">
            <v>4.4000000000000004</v>
          </cell>
          <cell r="M156">
            <v>16</v>
          </cell>
          <cell r="N156">
            <v>5.2</v>
          </cell>
          <cell r="O156">
            <v>1.6</v>
          </cell>
          <cell r="P156">
            <v>2.4</v>
          </cell>
          <cell r="R156">
            <v>129</v>
          </cell>
          <cell r="S156">
            <v>0</v>
          </cell>
          <cell r="T156">
            <v>5.78</v>
          </cell>
          <cell r="U156">
            <v>3.3</v>
          </cell>
          <cell r="W156">
            <v>-2.88</v>
          </cell>
          <cell r="X156">
            <v>271</v>
          </cell>
          <cell r="Y156">
            <v>0</v>
          </cell>
        </row>
        <row r="157">
          <cell r="B157" t="str">
            <v>Melasseschnitzel</v>
          </cell>
          <cell r="C157">
            <v>80789</v>
          </cell>
          <cell r="D157">
            <v>2012</v>
          </cell>
          <cell r="E157">
            <v>91.7</v>
          </cell>
          <cell r="F157">
            <v>102</v>
          </cell>
          <cell r="G157">
            <v>166</v>
          </cell>
          <cell r="H157">
            <v>9</v>
          </cell>
          <cell r="I157">
            <v>89</v>
          </cell>
          <cell r="J157">
            <v>135</v>
          </cell>
          <cell r="K157">
            <v>310</v>
          </cell>
          <cell r="L157">
            <v>1.1000000000000001</v>
          </cell>
          <cell r="M157">
            <v>16</v>
          </cell>
          <cell r="N157">
            <v>7.7</v>
          </cell>
          <cell r="O157">
            <v>1</v>
          </cell>
          <cell r="P157">
            <v>1.6</v>
          </cell>
          <cell r="R157">
            <v>146</v>
          </cell>
          <cell r="S157">
            <v>0</v>
          </cell>
          <cell r="T157">
            <v>7.25</v>
          </cell>
          <cell r="U157">
            <v>0.25</v>
          </cell>
          <cell r="V157">
            <v>200</v>
          </cell>
          <cell r="W157">
            <v>-7.04</v>
          </cell>
          <cell r="X157">
            <v>490</v>
          </cell>
          <cell r="Y157">
            <v>0</v>
          </cell>
        </row>
        <row r="158">
          <cell r="B158" t="str">
            <v>Silo 9</v>
          </cell>
          <cell r="C158">
            <v>80790</v>
          </cell>
          <cell r="S158">
            <v>0</v>
          </cell>
          <cell r="V158">
            <v>20</v>
          </cell>
          <cell r="W158">
            <v>0</v>
          </cell>
          <cell r="Y158">
            <v>0</v>
          </cell>
        </row>
        <row r="159">
          <cell r="B159" t="str">
            <v>Silo 9</v>
          </cell>
          <cell r="C159">
            <v>80837</v>
          </cell>
          <cell r="D159">
            <v>2012</v>
          </cell>
          <cell r="E159">
            <v>28.4</v>
          </cell>
          <cell r="F159">
            <v>184</v>
          </cell>
          <cell r="G159">
            <v>296</v>
          </cell>
          <cell r="H159">
            <v>43</v>
          </cell>
          <cell r="I159">
            <v>131</v>
          </cell>
          <cell r="J159">
            <v>245</v>
          </cell>
          <cell r="K159">
            <v>411</v>
          </cell>
          <cell r="L159">
            <v>5.8</v>
          </cell>
          <cell r="M159">
            <v>32</v>
          </cell>
          <cell r="N159">
            <v>6.2</v>
          </cell>
          <cell r="O159">
            <v>1.7</v>
          </cell>
          <cell r="P159">
            <v>2.4</v>
          </cell>
          <cell r="R159">
            <v>147</v>
          </cell>
          <cell r="S159">
            <v>0</v>
          </cell>
          <cell r="T159">
            <v>6.61</v>
          </cell>
          <cell r="U159">
            <v>2.6</v>
          </cell>
          <cell r="V159">
            <v>44</v>
          </cell>
          <cell r="W159">
            <v>5.92</v>
          </cell>
          <cell r="X159">
            <v>231</v>
          </cell>
          <cell r="Y159">
            <v>0</v>
          </cell>
        </row>
        <row r="160">
          <cell r="B160" t="str">
            <v>Silo 9</v>
          </cell>
          <cell r="C160">
            <v>80837</v>
          </cell>
          <cell r="D160">
            <v>2012</v>
          </cell>
          <cell r="E160">
            <v>31.2</v>
          </cell>
          <cell r="F160">
            <v>188</v>
          </cell>
          <cell r="G160">
            <v>306</v>
          </cell>
          <cell r="H160">
            <v>45</v>
          </cell>
          <cell r="I160">
            <v>133</v>
          </cell>
          <cell r="J160">
            <v>252</v>
          </cell>
          <cell r="K160">
            <v>413</v>
          </cell>
          <cell r="L160">
            <v>5.2</v>
          </cell>
          <cell r="M160">
            <v>32</v>
          </cell>
          <cell r="N160">
            <v>6.5</v>
          </cell>
          <cell r="O160">
            <v>2.6</v>
          </cell>
          <cell r="P160">
            <v>2.2000000000000002</v>
          </cell>
          <cell r="R160">
            <v>150</v>
          </cell>
          <cell r="S160">
            <v>0</v>
          </cell>
          <cell r="T160">
            <v>6.82</v>
          </cell>
          <cell r="U160">
            <v>2.63</v>
          </cell>
          <cell r="V160">
            <v>44</v>
          </cell>
          <cell r="W160">
            <v>6.08</v>
          </cell>
          <cell r="X160">
            <v>221</v>
          </cell>
          <cell r="Y160">
            <v>0</v>
          </cell>
        </row>
        <row r="161">
          <cell r="B161" t="str">
            <v>Schlauch</v>
          </cell>
          <cell r="C161">
            <v>80838</v>
          </cell>
          <cell r="D161">
            <v>2012</v>
          </cell>
          <cell r="E161">
            <v>39.1</v>
          </cell>
          <cell r="F161">
            <v>77</v>
          </cell>
          <cell r="G161">
            <v>172</v>
          </cell>
          <cell r="H161">
            <v>49</v>
          </cell>
          <cell r="I161">
            <v>35</v>
          </cell>
          <cell r="J161">
            <v>171</v>
          </cell>
          <cell r="K161">
            <v>493</v>
          </cell>
          <cell r="L161">
            <v>2.8</v>
          </cell>
          <cell r="M161">
            <v>9</v>
          </cell>
          <cell r="N161">
            <v>2.2999999999999998</v>
          </cell>
          <cell r="O161">
            <v>0.2</v>
          </cell>
          <cell r="P161">
            <v>1.3</v>
          </cell>
          <cell r="R161">
            <v>139</v>
          </cell>
          <cell r="S161">
            <v>0</v>
          </cell>
          <cell r="T161">
            <v>7.14</v>
          </cell>
          <cell r="U161">
            <v>2.4</v>
          </cell>
          <cell r="V161">
            <v>2</v>
          </cell>
          <cell r="W161">
            <v>-9.92</v>
          </cell>
          <cell r="X161">
            <v>346</v>
          </cell>
          <cell r="Y161">
            <v>0</v>
          </cell>
        </row>
        <row r="162">
          <cell r="B162" t="str">
            <v>RES</v>
          </cell>
          <cell r="C162">
            <v>80839</v>
          </cell>
          <cell r="D162">
            <v>2012</v>
          </cell>
          <cell r="E162">
            <v>88</v>
          </cell>
          <cell r="F162">
            <v>389</v>
          </cell>
          <cell r="G162">
            <v>125</v>
          </cell>
          <cell r="H162">
            <v>13</v>
          </cell>
          <cell r="I162">
            <v>81</v>
          </cell>
          <cell r="J162">
            <v>194</v>
          </cell>
          <cell r="K162">
            <v>268</v>
          </cell>
          <cell r="L162">
            <v>16.7</v>
          </cell>
          <cell r="M162">
            <v>14</v>
          </cell>
          <cell r="N162">
            <v>8</v>
          </cell>
          <cell r="O162">
            <v>0.6</v>
          </cell>
          <cell r="P162">
            <v>5.3</v>
          </cell>
          <cell r="R162">
            <v>253</v>
          </cell>
          <cell r="S162">
            <v>0</v>
          </cell>
          <cell r="T162">
            <v>7.22</v>
          </cell>
          <cell r="U162">
            <v>0.36</v>
          </cell>
          <cell r="W162">
            <v>21.76</v>
          </cell>
          <cell r="X162">
            <v>249</v>
          </cell>
          <cell r="Y162">
            <v>0</v>
          </cell>
        </row>
        <row r="163">
          <cell r="B163" t="str">
            <v>SES</v>
          </cell>
          <cell r="C163">
            <v>80840</v>
          </cell>
          <cell r="D163">
            <v>2012</v>
          </cell>
          <cell r="E163">
            <v>88.2</v>
          </cell>
          <cell r="F163">
            <v>522</v>
          </cell>
          <cell r="G163">
            <v>72</v>
          </cell>
          <cell r="H163">
            <v>14</v>
          </cell>
          <cell r="I163">
            <v>71</v>
          </cell>
          <cell r="J163">
            <v>112</v>
          </cell>
          <cell r="K163">
            <v>225</v>
          </cell>
          <cell r="L163">
            <v>9</v>
          </cell>
          <cell r="M163">
            <v>22</v>
          </cell>
          <cell r="N163">
            <v>3.6</v>
          </cell>
          <cell r="O163">
            <v>0.2</v>
          </cell>
          <cell r="P163">
            <v>3.7</v>
          </cell>
          <cell r="R163">
            <v>297</v>
          </cell>
          <cell r="S163">
            <v>0</v>
          </cell>
          <cell r="T163">
            <v>8.6199999999999992</v>
          </cell>
          <cell r="W163">
            <v>36</v>
          </cell>
          <cell r="X163">
            <v>168</v>
          </cell>
          <cell r="Y163">
            <v>0</v>
          </cell>
        </row>
        <row r="164">
          <cell r="B164" t="str">
            <v>WG 46,5/46,5</v>
          </cell>
          <cell r="C164">
            <v>80841</v>
          </cell>
          <cell r="D164">
            <v>2012</v>
          </cell>
          <cell r="E164">
            <v>88.8</v>
          </cell>
          <cell r="F164">
            <v>123</v>
          </cell>
          <cell r="G164">
            <v>151</v>
          </cell>
          <cell r="H164">
            <v>21</v>
          </cell>
          <cell r="I164">
            <v>122</v>
          </cell>
          <cell r="J164">
            <v>32</v>
          </cell>
          <cell r="K164">
            <v>399</v>
          </cell>
          <cell r="L164">
            <v>10.4</v>
          </cell>
          <cell r="M164">
            <v>6</v>
          </cell>
          <cell r="N164">
            <v>15.8</v>
          </cell>
          <cell r="O164">
            <v>15.8</v>
          </cell>
          <cell r="P164">
            <v>4.8</v>
          </cell>
          <cell r="R164">
            <v>155</v>
          </cell>
          <cell r="S164">
            <v>0</v>
          </cell>
          <cell r="T164">
            <v>7.4</v>
          </cell>
          <cell r="U164">
            <v>0</v>
          </cell>
          <cell r="W164">
            <v>-5.12</v>
          </cell>
          <cell r="X164">
            <v>335</v>
          </cell>
          <cell r="Y164">
            <v>0</v>
          </cell>
        </row>
        <row r="165">
          <cell r="B165" t="str">
            <v>Melasseschnitzel</v>
          </cell>
          <cell r="C165">
            <v>80842</v>
          </cell>
          <cell r="D165">
            <v>2012</v>
          </cell>
          <cell r="E165">
            <v>92.3</v>
          </cell>
          <cell r="F165">
            <v>98</v>
          </cell>
          <cell r="G165">
            <v>159</v>
          </cell>
          <cell r="H165">
            <v>7</v>
          </cell>
          <cell r="I165">
            <v>85</v>
          </cell>
          <cell r="J165">
            <v>138</v>
          </cell>
          <cell r="K165">
            <v>316</v>
          </cell>
          <cell r="L165">
            <v>1</v>
          </cell>
          <cell r="M165">
            <v>17</v>
          </cell>
          <cell r="N165">
            <v>7.2</v>
          </cell>
          <cell r="O165">
            <v>1.1000000000000001</v>
          </cell>
          <cell r="P165">
            <v>1.6</v>
          </cell>
          <cell r="R165">
            <v>146</v>
          </cell>
          <cell r="S165">
            <v>0</v>
          </cell>
          <cell r="T165">
            <v>7.29</v>
          </cell>
          <cell r="W165">
            <v>-7.68</v>
          </cell>
          <cell r="X165">
            <v>494</v>
          </cell>
          <cell r="Y165">
            <v>0</v>
          </cell>
        </row>
        <row r="166">
          <cell r="B166" t="str">
            <v>Heu, 2. S.</v>
          </cell>
          <cell r="C166">
            <v>80843</v>
          </cell>
          <cell r="D166">
            <v>2012</v>
          </cell>
          <cell r="E166">
            <v>89.9</v>
          </cell>
          <cell r="F166">
            <v>136</v>
          </cell>
          <cell r="G166">
            <v>286</v>
          </cell>
          <cell r="H166">
            <v>30</v>
          </cell>
          <cell r="I166">
            <v>74</v>
          </cell>
          <cell r="J166">
            <v>300</v>
          </cell>
          <cell r="K166">
            <v>502</v>
          </cell>
          <cell r="L166">
            <v>4.5999999999999996</v>
          </cell>
          <cell r="M166">
            <v>16</v>
          </cell>
          <cell r="N166">
            <v>7.1</v>
          </cell>
          <cell r="O166">
            <v>2.8</v>
          </cell>
          <cell r="P166">
            <v>3</v>
          </cell>
          <cell r="R166">
            <v>137</v>
          </cell>
          <cell r="S166">
            <v>0</v>
          </cell>
          <cell r="T166">
            <v>5.89</v>
          </cell>
          <cell r="U166">
            <v>3.16</v>
          </cell>
          <cell r="W166">
            <v>-0.16</v>
          </cell>
          <cell r="X166">
            <v>258</v>
          </cell>
          <cell r="Y166">
            <v>0</v>
          </cell>
        </row>
        <row r="167">
          <cell r="B167" t="str">
            <v>Stroh, Gerste</v>
          </cell>
          <cell r="C167">
            <v>80844</v>
          </cell>
          <cell r="D167">
            <v>2012</v>
          </cell>
          <cell r="E167">
            <v>90.5</v>
          </cell>
          <cell r="F167">
            <v>31</v>
          </cell>
          <cell r="G167">
            <v>385</v>
          </cell>
          <cell r="H167">
            <v>18</v>
          </cell>
          <cell r="I167">
            <v>54</v>
          </cell>
          <cell r="J167">
            <v>503</v>
          </cell>
          <cell r="K167">
            <v>774</v>
          </cell>
          <cell r="L167">
            <v>0.7</v>
          </cell>
          <cell r="M167">
            <v>13.7</v>
          </cell>
          <cell r="N167">
            <v>3.6</v>
          </cell>
          <cell r="O167">
            <v>0.3</v>
          </cell>
          <cell r="P167">
            <v>0.6</v>
          </cell>
          <cell r="R167">
            <v>76</v>
          </cell>
          <cell r="S167">
            <v>0</v>
          </cell>
          <cell r="T167">
            <v>3.84</v>
          </cell>
          <cell r="U167">
            <v>4.3</v>
          </cell>
          <cell r="W167">
            <v>-7.2</v>
          </cell>
          <cell r="X167">
            <v>123</v>
          </cell>
          <cell r="Y167">
            <v>0</v>
          </cell>
        </row>
        <row r="168">
          <cell r="B168" t="str">
            <v>RES</v>
          </cell>
          <cell r="C168">
            <v>80849</v>
          </cell>
          <cell r="D168">
            <v>2012</v>
          </cell>
          <cell r="E168">
            <v>87.8</v>
          </cell>
          <cell r="F168">
            <v>391</v>
          </cell>
          <cell r="G168">
            <v>192</v>
          </cell>
          <cell r="H168">
            <v>12</v>
          </cell>
          <cell r="I168">
            <v>76</v>
          </cell>
          <cell r="J168">
            <v>278</v>
          </cell>
          <cell r="K168">
            <v>244</v>
          </cell>
          <cell r="L168">
            <v>15.7</v>
          </cell>
          <cell r="M168">
            <v>13.8</v>
          </cell>
          <cell r="N168">
            <v>8.4</v>
          </cell>
          <cell r="O168">
            <v>0.6</v>
          </cell>
          <cell r="P168">
            <v>4.8</v>
          </cell>
          <cell r="R168">
            <v>254</v>
          </cell>
          <cell r="S168">
            <v>0</v>
          </cell>
          <cell r="T168">
            <v>7.25</v>
          </cell>
          <cell r="U168" t="str">
            <v/>
          </cell>
          <cell r="W168">
            <v>21.92</v>
          </cell>
          <cell r="X168">
            <v>277</v>
          </cell>
          <cell r="Y168">
            <v>0</v>
          </cell>
        </row>
        <row r="169">
          <cell r="B169" t="str">
            <v>SES</v>
          </cell>
          <cell r="C169">
            <v>80850</v>
          </cell>
          <cell r="D169">
            <v>2012</v>
          </cell>
          <cell r="E169">
            <v>88.3</v>
          </cell>
          <cell r="F169">
            <v>523</v>
          </cell>
          <cell r="G169">
            <v>39</v>
          </cell>
          <cell r="H169">
            <v>12</v>
          </cell>
          <cell r="I169">
            <v>74</v>
          </cell>
          <cell r="J169">
            <v>157</v>
          </cell>
          <cell r="K169">
            <v>225</v>
          </cell>
          <cell r="L169">
            <v>8.6</v>
          </cell>
          <cell r="M169">
            <v>21.9</v>
          </cell>
          <cell r="N169">
            <v>3.6</v>
          </cell>
          <cell r="O169">
            <v>0.2</v>
          </cell>
          <cell r="P169">
            <v>3.9</v>
          </cell>
          <cell r="R169">
            <v>297</v>
          </cell>
          <cell r="S169">
            <v>0</v>
          </cell>
          <cell r="T169">
            <v>8.6199999999999992</v>
          </cell>
          <cell r="U169" t="str">
            <v/>
          </cell>
          <cell r="W169">
            <v>36.159999999999997</v>
          </cell>
          <cell r="X169">
            <v>166</v>
          </cell>
          <cell r="Y169">
            <v>0</v>
          </cell>
        </row>
        <row r="170">
          <cell r="B170" t="str">
            <v>WG 46,5/46,5</v>
          </cell>
          <cell r="C170">
            <v>80851</v>
          </cell>
          <cell r="D170">
            <v>2012</v>
          </cell>
          <cell r="E170">
            <v>89</v>
          </cell>
          <cell r="F170">
            <v>123</v>
          </cell>
          <cell r="G170">
            <v>86</v>
          </cell>
          <cell r="H170">
            <v>20</v>
          </cell>
          <cell r="I170">
            <v>135</v>
          </cell>
          <cell r="J170">
            <v>35</v>
          </cell>
          <cell r="K170">
            <v>132</v>
          </cell>
          <cell r="L170">
            <v>10.6</v>
          </cell>
          <cell r="M170">
            <v>6</v>
          </cell>
          <cell r="N170">
            <v>17.5</v>
          </cell>
          <cell r="O170">
            <v>20.6</v>
          </cell>
          <cell r="P170">
            <v>4.4000000000000004</v>
          </cell>
          <cell r="R170">
            <v>152</v>
          </cell>
          <cell r="S170">
            <v>0</v>
          </cell>
          <cell r="T170">
            <v>7.2</v>
          </cell>
          <cell r="U170" t="str">
            <v/>
          </cell>
          <cell r="W170">
            <v>-4.6399999999999997</v>
          </cell>
          <cell r="X170">
            <v>590</v>
          </cell>
          <cell r="Y170">
            <v>0</v>
          </cell>
        </row>
        <row r="171">
          <cell r="B171" t="str">
            <v>Melasseschnitzel</v>
          </cell>
          <cell r="C171">
            <v>80852</v>
          </cell>
          <cell r="D171">
            <v>2012</v>
          </cell>
          <cell r="E171">
            <v>91.1</v>
          </cell>
          <cell r="F171">
            <v>101</v>
          </cell>
          <cell r="G171">
            <v>113</v>
          </cell>
          <cell r="H171">
            <v>10</v>
          </cell>
          <cell r="I171">
            <v>84</v>
          </cell>
          <cell r="J171">
            <v>162</v>
          </cell>
          <cell r="K171">
            <v>294</v>
          </cell>
          <cell r="L171">
            <v>1.1000000000000001</v>
          </cell>
          <cell r="M171">
            <v>16.100000000000001</v>
          </cell>
          <cell r="N171">
            <v>7</v>
          </cell>
          <cell r="O171">
            <v>1.2</v>
          </cell>
          <cell r="P171">
            <v>1.6</v>
          </cell>
          <cell r="R171">
            <v>147</v>
          </cell>
          <cell r="S171">
            <v>0</v>
          </cell>
          <cell r="T171">
            <v>7.34</v>
          </cell>
          <cell r="U171" t="str">
            <v/>
          </cell>
          <cell r="W171">
            <v>-7.36</v>
          </cell>
          <cell r="X171">
            <v>511</v>
          </cell>
          <cell r="Y171">
            <v>0</v>
          </cell>
        </row>
        <row r="172">
          <cell r="B172" t="str">
            <v>Heu, 2. S.</v>
          </cell>
          <cell r="C172">
            <v>80853</v>
          </cell>
          <cell r="D172">
            <v>2012</v>
          </cell>
          <cell r="E172">
            <v>94.4</v>
          </cell>
          <cell r="F172">
            <v>133</v>
          </cell>
          <cell r="G172">
            <v>244</v>
          </cell>
          <cell r="H172">
            <v>31</v>
          </cell>
          <cell r="I172">
            <v>74</v>
          </cell>
          <cell r="J172">
            <v>336</v>
          </cell>
          <cell r="K172">
            <v>531</v>
          </cell>
          <cell r="L172">
            <v>3</v>
          </cell>
          <cell r="M172">
            <v>14.4</v>
          </cell>
          <cell r="N172">
            <v>6.6</v>
          </cell>
          <cell r="O172">
            <v>2.7</v>
          </cell>
          <cell r="P172">
            <v>1.9</v>
          </cell>
          <cell r="R172">
            <v>133</v>
          </cell>
          <cell r="S172">
            <v>0</v>
          </cell>
          <cell r="T172">
            <v>5.65</v>
          </cell>
          <cell r="U172">
            <v>3.3359999999999999</v>
          </cell>
          <cell r="W172">
            <v>0</v>
          </cell>
          <cell r="X172">
            <v>231</v>
          </cell>
          <cell r="Y172">
            <v>0</v>
          </cell>
        </row>
        <row r="173">
          <cell r="B173" t="str">
            <v>Stroh, Gerste</v>
          </cell>
          <cell r="C173">
            <v>80854</v>
          </cell>
          <cell r="D173">
            <v>2012</v>
          </cell>
          <cell r="E173">
            <v>91.3</v>
          </cell>
          <cell r="F173">
            <v>33</v>
          </cell>
          <cell r="G173">
            <v>426</v>
          </cell>
          <cell r="H173">
            <v>16</v>
          </cell>
          <cell r="I173">
            <v>39</v>
          </cell>
          <cell r="J173">
            <v>554</v>
          </cell>
          <cell r="K173">
            <v>799</v>
          </cell>
          <cell r="L173">
            <v>0.8</v>
          </cell>
          <cell r="M173">
            <v>9.1</v>
          </cell>
          <cell r="N173">
            <v>4.3</v>
          </cell>
          <cell r="O173">
            <v>0.4</v>
          </cell>
          <cell r="P173">
            <v>0.7</v>
          </cell>
          <cell r="R173">
            <v>77</v>
          </cell>
          <cell r="S173">
            <v>0</v>
          </cell>
          <cell r="T173">
            <v>3.87</v>
          </cell>
          <cell r="U173">
            <v>4.3</v>
          </cell>
          <cell r="W173">
            <v>-7.04</v>
          </cell>
          <cell r="X173">
            <v>113</v>
          </cell>
          <cell r="Y173">
            <v>0</v>
          </cell>
        </row>
        <row r="174">
          <cell r="B174" t="str">
            <v>Silo 9</v>
          </cell>
          <cell r="C174">
            <v>80855</v>
          </cell>
          <cell r="D174">
            <v>2012</v>
          </cell>
          <cell r="E174">
            <v>30.6</v>
          </cell>
          <cell r="F174">
            <v>177</v>
          </cell>
          <cell r="G174">
            <v>289</v>
          </cell>
          <cell r="H174">
            <v>40</v>
          </cell>
          <cell r="I174">
            <v>115</v>
          </cell>
          <cell r="J174">
            <v>279</v>
          </cell>
          <cell r="K174">
            <v>404</v>
          </cell>
          <cell r="L174">
            <v>5</v>
          </cell>
          <cell r="M174">
            <v>28.7</v>
          </cell>
          <cell r="N174">
            <v>5.5</v>
          </cell>
          <cell r="O174">
            <v>1.7</v>
          </cell>
          <cell r="P174">
            <v>2.1</v>
          </cell>
          <cell r="R174">
            <v>145</v>
          </cell>
          <cell r="S174">
            <v>0</v>
          </cell>
          <cell r="T174">
            <v>6.52</v>
          </cell>
          <cell r="U174">
            <v>2.5739999999999998</v>
          </cell>
          <cell r="V174">
            <v>39</v>
          </cell>
          <cell r="W174">
            <v>5.12</v>
          </cell>
          <cell r="X174">
            <v>264</v>
          </cell>
          <cell r="Y174">
            <v>0</v>
          </cell>
        </row>
        <row r="175">
          <cell r="B175" t="str">
            <v xml:space="preserve"> Treber</v>
          </cell>
          <cell r="C175">
            <v>80856</v>
          </cell>
          <cell r="D175">
            <v>2012</v>
          </cell>
          <cell r="E175">
            <v>23.3</v>
          </cell>
          <cell r="F175">
            <v>246</v>
          </cell>
          <cell r="G175">
            <v>174</v>
          </cell>
          <cell r="H175">
            <v>91</v>
          </cell>
          <cell r="I175">
            <v>46</v>
          </cell>
          <cell r="J175">
            <v>280</v>
          </cell>
          <cell r="K175">
            <v>643</v>
          </cell>
          <cell r="L175">
            <v>8.1</v>
          </cell>
          <cell r="M175">
            <v>1.8</v>
          </cell>
          <cell r="N175">
            <v>5.5</v>
          </cell>
          <cell r="O175">
            <v>0.2</v>
          </cell>
          <cell r="P175">
            <v>2.5</v>
          </cell>
          <cell r="R175">
            <v>206</v>
          </cell>
          <cell r="S175">
            <v>0</v>
          </cell>
          <cell r="T175">
            <v>6.78</v>
          </cell>
          <cell r="U175" t="str">
            <v/>
          </cell>
          <cell r="W175">
            <v>6.4</v>
          </cell>
          <cell r="X175">
            <v>-26</v>
          </cell>
          <cell r="Y175">
            <v>0</v>
          </cell>
        </row>
        <row r="176">
          <cell r="B176" t="str">
            <v>Silo 9</v>
          </cell>
          <cell r="C176">
            <v>80861</v>
          </cell>
          <cell r="D176">
            <v>2012</v>
          </cell>
          <cell r="E176">
            <v>31.7</v>
          </cell>
          <cell r="F176">
            <v>176</v>
          </cell>
          <cell r="G176">
            <v>279</v>
          </cell>
          <cell r="H176">
            <v>39</v>
          </cell>
          <cell r="I176">
            <v>118</v>
          </cell>
          <cell r="J176">
            <v>246</v>
          </cell>
          <cell r="K176">
            <v>398</v>
          </cell>
          <cell r="L176">
            <v>5.0999999999999996</v>
          </cell>
          <cell r="M176">
            <v>30.3</v>
          </cell>
          <cell r="N176">
            <v>5.4</v>
          </cell>
          <cell r="O176">
            <v>1.2</v>
          </cell>
          <cell r="P176">
            <v>2.2000000000000002</v>
          </cell>
          <cell r="R176">
            <v>146</v>
          </cell>
          <cell r="S176">
            <v>0</v>
          </cell>
          <cell r="T176">
            <v>6.64</v>
          </cell>
          <cell r="U176">
            <v>2.5379999999999998</v>
          </cell>
          <cell r="V176">
            <v>37</v>
          </cell>
          <cell r="W176">
            <v>4.8</v>
          </cell>
          <cell r="X176">
            <v>269</v>
          </cell>
          <cell r="Y176">
            <v>0</v>
          </cell>
        </row>
        <row r="177">
          <cell r="B177" t="str">
            <v>RES</v>
          </cell>
          <cell r="C177">
            <v>80862</v>
          </cell>
          <cell r="D177">
            <v>2012</v>
          </cell>
          <cell r="E177">
            <v>88.1</v>
          </cell>
          <cell r="F177">
            <v>384</v>
          </cell>
          <cell r="G177">
            <v>117</v>
          </cell>
          <cell r="H177">
            <v>15</v>
          </cell>
          <cell r="I177">
            <v>73</v>
          </cell>
          <cell r="J177">
            <v>204</v>
          </cell>
          <cell r="K177">
            <v>277</v>
          </cell>
          <cell r="L177">
            <v>15.8</v>
          </cell>
          <cell r="M177">
            <v>13.3</v>
          </cell>
          <cell r="N177">
            <v>8.4</v>
          </cell>
          <cell r="O177">
            <v>0.6</v>
          </cell>
          <cell r="P177">
            <v>4.7</v>
          </cell>
          <cell r="R177">
            <v>252</v>
          </cell>
          <cell r="S177">
            <v>0</v>
          </cell>
          <cell r="T177">
            <v>7.29</v>
          </cell>
          <cell r="U177" t="str">
            <v/>
          </cell>
          <cell r="W177">
            <v>21.12</v>
          </cell>
          <cell r="X177">
            <v>251</v>
          </cell>
          <cell r="Y177">
            <v>0</v>
          </cell>
        </row>
        <row r="178">
          <cell r="B178" t="str">
            <v>Silo 3 M</v>
          </cell>
          <cell r="C178">
            <v>80863</v>
          </cell>
          <cell r="D178">
            <v>2012</v>
          </cell>
          <cell r="E178">
            <v>38.299999999999997</v>
          </cell>
          <cell r="F178">
            <v>79</v>
          </cell>
          <cell r="G178">
            <v>182</v>
          </cell>
          <cell r="H178">
            <v>42</v>
          </cell>
          <cell r="I178">
            <v>41</v>
          </cell>
          <cell r="J178">
            <v>184</v>
          </cell>
          <cell r="K178">
            <v>353</v>
          </cell>
          <cell r="L178">
            <v>3</v>
          </cell>
          <cell r="M178">
            <v>10</v>
          </cell>
          <cell r="N178">
            <v>2.5</v>
          </cell>
          <cell r="O178">
            <v>0.2</v>
          </cell>
          <cell r="P178">
            <v>1.3</v>
          </cell>
          <cell r="R178">
            <v>139</v>
          </cell>
          <cell r="S178">
            <v>0</v>
          </cell>
          <cell r="T178">
            <v>7.07</v>
          </cell>
          <cell r="U178">
            <v>1.548</v>
          </cell>
          <cell r="V178">
            <v>1</v>
          </cell>
          <cell r="W178">
            <v>-9.6</v>
          </cell>
          <cell r="X178">
            <v>485</v>
          </cell>
          <cell r="Y178">
            <v>0</v>
          </cell>
        </row>
        <row r="179">
          <cell r="B179" t="str">
            <v>Silo 5</v>
          </cell>
          <cell r="C179">
            <v>80864</v>
          </cell>
          <cell r="D179">
            <v>2012</v>
          </cell>
          <cell r="E179">
            <v>38.799999999999997</v>
          </cell>
          <cell r="F179">
            <v>81</v>
          </cell>
          <cell r="G179">
            <v>181</v>
          </cell>
          <cell r="H179">
            <v>41</v>
          </cell>
          <cell r="I179">
            <v>34</v>
          </cell>
          <cell r="J179">
            <v>181</v>
          </cell>
          <cell r="K179">
            <v>335</v>
          </cell>
          <cell r="L179">
            <v>3.2</v>
          </cell>
          <cell r="M179">
            <v>9.6</v>
          </cell>
          <cell r="N179">
            <v>2.1</v>
          </cell>
          <cell r="O179">
            <v>0.2</v>
          </cell>
          <cell r="P179">
            <v>1.3</v>
          </cell>
          <cell r="R179">
            <v>141</v>
          </cell>
          <cell r="S179">
            <v>0</v>
          </cell>
          <cell r="T179">
            <v>7.19</v>
          </cell>
          <cell r="U179">
            <v>1.4400000000000004</v>
          </cell>
          <cell r="V179">
            <v>2</v>
          </cell>
          <cell r="W179">
            <v>-9.6</v>
          </cell>
          <cell r="X179">
            <v>509</v>
          </cell>
          <cell r="Y179">
            <v>0</v>
          </cell>
        </row>
        <row r="180">
          <cell r="B180" t="str">
            <v>Silo 8</v>
          </cell>
          <cell r="C180">
            <v>80865</v>
          </cell>
          <cell r="D180">
            <v>2012</v>
          </cell>
          <cell r="E180">
            <v>37.1</v>
          </cell>
          <cell r="F180">
            <v>83</v>
          </cell>
          <cell r="G180">
            <v>195</v>
          </cell>
          <cell r="H180">
            <v>43</v>
          </cell>
          <cell r="I180">
            <v>41</v>
          </cell>
          <cell r="J180">
            <v>200</v>
          </cell>
          <cell r="K180">
            <v>386</v>
          </cell>
          <cell r="L180">
            <v>3</v>
          </cell>
          <cell r="M180">
            <v>10.6</v>
          </cell>
          <cell r="N180">
            <v>2.6</v>
          </cell>
          <cell r="O180">
            <v>0.2</v>
          </cell>
          <cell r="P180">
            <v>1.3</v>
          </cell>
          <cell r="R180">
            <v>138</v>
          </cell>
          <cell r="S180">
            <v>0</v>
          </cell>
          <cell r="T180">
            <v>6.94</v>
          </cell>
          <cell r="U180">
            <v>1.746</v>
          </cell>
          <cell r="V180">
            <v>5</v>
          </cell>
          <cell r="W180">
            <v>-8.8000000000000007</v>
          </cell>
          <cell r="X180">
            <v>447</v>
          </cell>
          <cell r="Y180">
            <v>0</v>
          </cell>
        </row>
        <row r="181">
          <cell r="B181" t="str">
            <v>RES</v>
          </cell>
          <cell r="C181">
            <v>80866</v>
          </cell>
          <cell r="D181">
            <v>2012</v>
          </cell>
          <cell r="E181">
            <v>88</v>
          </cell>
          <cell r="F181">
            <v>392</v>
          </cell>
          <cell r="G181">
            <v>126</v>
          </cell>
          <cell r="H181">
            <v>12</v>
          </cell>
          <cell r="I181">
            <v>80</v>
          </cell>
          <cell r="J181">
            <v>196</v>
          </cell>
          <cell r="K181">
            <v>268</v>
          </cell>
          <cell r="L181">
            <v>15.3</v>
          </cell>
          <cell r="M181">
            <v>14.2</v>
          </cell>
          <cell r="N181">
            <v>7.6</v>
          </cell>
          <cell r="O181">
            <v>0.6</v>
          </cell>
          <cell r="P181">
            <v>4.7</v>
          </cell>
          <cell r="R181">
            <v>254</v>
          </cell>
          <cell r="S181">
            <v>0</v>
          </cell>
          <cell r="T181">
            <v>7.22</v>
          </cell>
          <cell r="U181" t="str">
            <v/>
          </cell>
          <cell r="W181">
            <v>22.08</v>
          </cell>
          <cell r="X181">
            <v>248</v>
          </cell>
          <cell r="Y181">
            <v>0</v>
          </cell>
        </row>
        <row r="182">
          <cell r="B182" t="str">
            <v>SES</v>
          </cell>
          <cell r="C182">
            <v>80867</v>
          </cell>
          <cell r="D182">
            <v>2012</v>
          </cell>
          <cell r="E182">
            <v>88.4</v>
          </cell>
          <cell r="F182">
            <v>513</v>
          </cell>
          <cell r="G182">
            <v>58</v>
          </cell>
          <cell r="H182">
            <v>12</v>
          </cell>
          <cell r="I182">
            <v>67</v>
          </cell>
          <cell r="J182">
            <v>110</v>
          </cell>
          <cell r="K182">
            <v>210</v>
          </cell>
          <cell r="L182">
            <v>8.6</v>
          </cell>
          <cell r="M182">
            <v>21.5</v>
          </cell>
          <cell r="N182">
            <v>3.3</v>
          </cell>
          <cell r="O182">
            <v>0.2</v>
          </cell>
          <cell r="P182">
            <v>3.5</v>
          </cell>
          <cell r="R182">
            <v>295</v>
          </cell>
          <cell r="S182">
            <v>0</v>
          </cell>
          <cell r="T182">
            <v>8.64</v>
          </cell>
          <cell r="U182" t="str">
            <v/>
          </cell>
          <cell r="W182">
            <v>34.880000000000003</v>
          </cell>
          <cell r="X182">
            <v>198</v>
          </cell>
          <cell r="Y182">
            <v>0</v>
          </cell>
        </row>
        <row r="183">
          <cell r="B183" t="str">
            <v>WG 46,5/46,5</v>
          </cell>
          <cell r="C183">
            <v>80868</v>
          </cell>
          <cell r="D183">
            <v>2012</v>
          </cell>
          <cell r="E183">
            <v>89.7</v>
          </cell>
          <cell r="F183">
            <v>208</v>
          </cell>
          <cell r="G183">
            <v>56</v>
          </cell>
          <cell r="H183">
            <v>17</v>
          </cell>
          <cell r="I183">
            <v>145</v>
          </cell>
          <cell r="J183">
            <v>25</v>
          </cell>
          <cell r="K183">
            <v>123</v>
          </cell>
          <cell r="L183">
            <v>10.5</v>
          </cell>
          <cell r="M183">
            <v>9.8000000000000007</v>
          </cell>
          <cell r="N183">
            <v>19.8</v>
          </cell>
          <cell r="O183">
            <v>11.6</v>
          </cell>
          <cell r="P183">
            <v>4.9000000000000004</v>
          </cell>
          <cell r="R183">
            <v>172</v>
          </cell>
          <cell r="S183">
            <v>0</v>
          </cell>
          <cell r="T183">
            <v>6.93</v>
          </cell>
          <cell r="U183" t="str">
            <v/>
          </cell>
          <cell r="W183">
            <v>5.76</v>
          </cell>
          <cell r="X183">
            <v>507</v>
          </cell>
          <cell r="Y183">
            <v>0</v>
          </cell>
        </row>
        <row r="184">
          <cell r="B184" t="str">
            <v>Melasseschnitzel</v>
          </cell>
          <cell r="C184">
            <v>80869</v>
          </cell>
          <cell r="D184">
            <v>2012</v>
          </cell>
          <cell r="E184">
            <v>90.7</v>
          </cell>
          <cell r="F184">
            <v>123</v>
          </cell>
          <cell r="G184">
            <v>133</v>
          </cell>
          <cell r="H184">
            <v>9</v>
          </cell>
          <cell r="I184">
            <v>85</v>
          </cell>
          <cell r="J184">
            <v>154</v>
          </cell>
          <cell r="K184">
            <v>289</v>
          </cell>
          <cell r="L184">
            <v>2.2000000000000002</v>
          </cell>
          <cell r="M184">
            <v>15.8</v>
          </cell>
          <cell r="N184">
            <v>6.9</v>
          </cell>
          <cell r="O184">
            <v>1.3</v>
          </cell>
          <cell r="P184">
            <v>1.8</v>
          </cell>
          <cell r="R184">
            <v>154</v>
          </cell>
          <cell r="S184">
            <v>0</v>
          </cell>
          <cell r="T184">
            <v>7.34</v>
          </cell>
          <cell r="U184" t="str">
            <v/>
          </cell>
          <cell r="W184">
            <v>-4.96</v>
          </cell>
          <cell r="X184">
            <v>494</v>
          </cell>
          <cell r="Y184">
            <v>0</v>
          </cell>
        </row>
        <row r="185">
          <cell r="B185" t="str">
            <v>Stroh, Gerste</v>
          </cell>
          <cell r="C185">
            <v>80870</v>
          </cell>
          <cell r="D185">
            <v>2012</v>
          </cell>
          <cell r="E185">
            <v>90.3</v>
          </cell>
          <cell r="F185">
            <v>44</v>
          </cell>
          <cell r="G185">
            <v>425</v>
          </cell>
          <cell r="H185">
            <v>18</v>
          </cell>
          <cell r="I185">
            <v>65</v>
          </cell>
          <cell r="J185">
            <v>476</v>
          </cell>
          <cell r="K185">
            <v>766</v>
          </cell>
          <cell r="L185">
            <v>1</v>
          </cell>
          <cell r="M185">
            <v>13.7</v>
          </cell>
          <cell r="N185">
            <v>4</v>
          </cell>
          <cell r="O185">
            <v>0.4</v>
          </cell>
          <cell r="P185">
            <v>0.7</v>
          </cell>
          <cell r="R185">
            <v>81</v>
          </cell>
          <cell r="S185">
            <v>0</v>
          </cell>
          <cell r="T185">
            <v>3.79</v>
          </cell>
          <cell r="U185">
            <v>4.3</v>
          </cell>
          <cell r="V185">
            <v>7</v>
          </cell>
          <cell r="W185">
            <v>-5.92</v>
          </cell>
          <cell r="X185">
            <v>107</v>
          </cell>
          <cell r="Y185">
            <v>0</v>
          </cell>
        </row>
        <row r="186">
          <cell r="B186" t="str">
            <v>Heu, 2. S.</v>
          </cell>
          <cell r="C186">
            <v>80871</v>
          </cell>
          <cell r="D186">
            <v>2012</v>
          </cell>
          <cell r="E186">
            <v>88.2</v>
          </cell>
          <cell r="F186">
            <v>122</v>
          </cell>
          <cell r="G186">
            <v>288</v>
          </cell>
          <cell r="H186">
            <v>19</v>
          </cell>
          <cell r="I186">
            <v>74</v>
          </cell>
          <cell r="J186">
            <v>283</v>
          </cell>
          <cell r="K186">
            <v>559</v>
          </cell>
          <cell r="L186">
            <v>3.7</v>
          </cell>
          <cell r="M186">
            <v>16</v>
          </cell>
          <cell r="N186">
            <v>5.2</v>
          </cell>
          <cell r="O186">
            <v>2.2000000000000002</v>
          </cell>
          <cell r="P186">
            <v>2.2000000000000002</v>
          </cell>
          <cell r="R186">
            <v>130</v>
          </cell>
          <cell r="S186">
            <v>0</v>
          </cell>
          <cell r="T186">
            <v>5.68</v>
          </cell>
          <cell r="U186">
            <v>3.504</v>
          </cell>
          <cell r="V186">
            <v>60</v>
          </cell>
          <cell r="W186">
            <v>-1.28</v>
          </cell>
          <cell r="X186">
            <v>226</v>
          </cell>
          <cell r="Y186">
            <v>0</v>
          </cell>
        </row>
        <row r="187">
          <cell r="B187" t="str">
            <v>Silo 9</v>
          </cell>
          <cell r="C187">
            <v>80874</v>
          </cell>
          <cell r="D187">
            <v>2012</v>
          </cell>
          <cell r="E187">
            <v>33.700000000000003</v>
          </cell>
          <cell r="F187">
            <v>181</v>
          </cell>
          <cell r="G187">
            <v>287</v>
          </cell>
          <cell r="H187">
            <v>43</v>
          </cell>
          <cell r="I187">
            <v>124</v>
          </cell>
          <cell r="J187">
            <v>254</v>
          </cell>
          <cell r="K187">
            <v>438</v>
          </cell>
          <cell r="L187">
            <v>5.3</v>
          </cell>
          <cell r="M187">
            <v>35.299999999999997</v>
          </cell>
          <cell r="N187">
            <v>6.7</v>
          </cell>
          <cell r="O187">
            <v>2.4</v>
          </cell>
          <cell r="P187">
            <v>2.4</v>
          </cell>
          <cell r="R187">
            <v>146</v>
          </cell>
          <cell r="S187">
            <v>0</v>
          </cell>
          <cell r="T187">
            <v>6.57</v>
          </cell>
          <cell r="U187">
            <v>2.778</v>
          </cell>
          <cell r="V187">
            <v>27</v>
          </cell>
          <cell r="W187">
            <v>5.6</v>
          </cell>
          <cell r="X187">
            <v>214</v>
          </cell>
          <cell r="Y187">
            <v>0</v>
          </cell>
        </row>
        <row r="188">
          <cell r="B188" t="str">
            <v>RES</v>
          </cell>
          <cell r="C188">
            <v>80877</v>
          </cell>
          <cell r="D188">
            <v>2012</v>
          </cell>
          <cell r="E188">
            <v>88.1</v>
          </cell>
          <cell r="F188">
            <v>382</v>
          </cell>
          <cell r="G188">
            <v>114</v>
          </cell>
          <cell r="H188">
            <v>13</v>
          </cell>
          <cell r="I188">
            <v>73</v>
          </cell>
          <cell r="J188">
            <v>198</v>
          </cell>
          <cell r="K188">
            <v>281</v>
          </cell>
          <cell r="L188">
            <v>16</v>
          </cell>
          <cell r="M188">
            <v>14.6</v>
          </cell>
          <cell r="N188">
            <v>8.6</v>
          </cell>
          <cell r="O188">
            <v>0.7</v>
          </cell>
          <cell r="P188">
            <v>5.0999999999999996</v>
          </cell>
          <cell r="R188">
            <v>251</v>
          </cell>
          <cell r="S188">
            <v>0</v>
          </cell>
          <cell r="T188">
            <v>7.27</v>
          </cell>
          <cell r="U188" t="str">
            <v/>
          </cell>
          <cell r="W188">
            <v>20.96</v>
          </cell>
          <cell r="X188">
            <v>251</v>
          </cell>
          <cell r="Y188">
            <v>0</v>
          </cell>
        </row>
        <row r="189">
          <cell r="B189" t="str">
            <v>SES</v>
          </cell>
          <cell r="C189">
            <v>80878</v>
          </cell>
          <cell r="D189">
            <v>2012</v>
          </cell>
          <cell r="E189">
            <v>88.7</v>
          </cell>
          <cell r="F189">
            <v>471</v>
          </cell>
          <cell r="G189">
            <v>48</v>
          </cell>
          <cell r="H189">
            <v>11</v>
          </cell>
          <cell r="I189">
            <v>67</v>
          </cell>
          <cell r="J189">
            <v>80</v>
          </cell>
          <cell r="K189">
            <v>208</v>
          </cell>
          <cell r="L189">
            <v>8.3000000000000007</v>
          </cell>
          <cell r="M189">
            <v>21.9</v>
          </cell>
          <cell r="N189">
            <v>3.7</v>
          </cell>
          <cell r="O189">
            <v>0.9</v>
          </cell>
          <cell r="P189">
            <v>3.6</v>
          </cell>
          <cell r="R189">
            <v>281</v>
          </cell>
          <cell r="S189">
            <v>0</v>
          </cell>
          <cell r="T189">
            <v>8.6</v>
          </cell>
          <cell r="U189" t="str">
            <v/>
          </cell>
          <cell r="W189">
            <v>30.4</v>
          </cell>
          <cell r="X189">
            <v>243</v>
          </cell>
          <cell r="Y189">
            <v>0</v>
          </cell>
        </row>
        <row r="190">
          <cell r="B190" t="str">
            <v>WG 46,5/46,5</v>
          </cell>
          <cell r="C190">
            <v>80879</v>
          </cell>
          <cell r="D190">
            <v>2012</v>
          </cell>
          <cell r="E190">
            <v>91.1</v>
          </cell>
          <cell r="F190">
            <v>90</v>
          </cell>
          <cell r="G190">
            <v>76</v>
          </cell>
          <cell r="H190">
            <v>18</v>
          </cell>
          <cell r="I190">
            <v>199</v>
          </cell>
          <cell r="J190">
            <v>18</v>
          </cell>
          <cell r="K190">
            <v>117</v>
          </cell>
          <cell r="L190">
            <v>14.8</v>
          </cell>
          <cell r="M190">
            <v>7</v>
          </cell>
          <cell r="N190">
            <v>35.1</v>
          </cell>
          <cell r="O190">
            <v>16.5</v>
          </cell>
          <cell r="P190">
            <v>6.4</v>
          </cell>
          <cell r="R190">
            <v>129</v>
          </cell>
          <cell r="S190">
            <v>0</v>
          </cell>
          <cell r="T190">
            <v>5.7</v>
          </cell>
          <cell r="U190" t="str">
            <v/>
          </cell>
          <cell r="W190">
            <v>-6.24</v>
          </cell>
          <cell r="X190">
            <v>576</v>
          </cell>
          <cell r="Y190">
            <v>0</v>
          </cell>
        </row>
        <row r="191">
          <cell r="B191" t="str">
            <v>Melasseschnitzel</v>
          </cell>
          <cell r="C191">
            <v>80880</v>
          </cell>
          <cell r="D191">
            <v>2012</v>
          </cell>
          <cell r="E191">
            <v>91.2</v>
          </cell>
          <cell r="F191">
            <v>121</v>
          </cell>
          <cell r="G191">
            <v>147</v>
          </cell>
          <cell r="H191">
            <v>8</v>
          </cell>
          <cell r="I191">
            <v>81</v>
          </cell>
          <cell r="J191">
            <v>141</v>
          </cell>
          <cell r="K191">
            <v>300</v>
          </cell>
          <cell r="L191">
            <v>2.2999999999999998</v>
          </cell>
          <cell r="M191">
            <v>17</v>
          </cell>
          <cell r="N191">
            <v>7.1</v>
          </cell>
          <cell r="O191">
            <v>1.1000000000000001</v>
          </cell>
          <cell r="P191">
            <v>1.9</v>
          </cell>
          <cell r="R191">
            <v>154</v>
          </cell>
          <cell r="S191">
            <v>0</v>
          </cell>
          <cell r="T191">
            <v>7.36</v>
          </cell>
          <cell r="U191" t="str">
            <v/>
          </cell>
          <cell r="W191">
            <v>-5.28</v>
          </cell>
          <cell r="X191">
            <v>490</v>
          </cell>
          <cell r="Y191">
            <v>0</v>
          </cell>
        </row>
        <row r="192">
          <cell r="B192" t="str">
            <v>Heu, 2. S.</v>
          </cell>
          <cell r="C192">
            <v>80881</v>
          </cell>
          <cell r="D192">
            <v>2012</v>
          </cell>
          <cell r="E192">
            <v>90.8</v>
          </cell>
          <cell r="F192">
            <v>134</v>
          </cell>
          <cell r="G192">
            <v>308</v>
          </cell>
          <cell r="H192">
            <v>28</v>
          </cell>
          <cell r="I192">
            <v>76</v>
          </cell>
          <cell r="J192">
            <v>284</v>
          </cell>
          <cell r="K192">
            <v>522</v>
          </cell>
          <cell r="L192">
            <v>4.5</v>
          </cell>
          <cell r="M192">
            <v>16.2</v>
          </cell>
          <cell r="N192">
            <v>6.2</v>
          </cell>
          <cell r="O192">
            <v>3.7</v>
          </cell>
          <cell r="P192">
            <v>2.5</v>
          </cell>
          <cell r="R192">
            <v>136</v>
          </cell>
          <cell r="S192">
            <v>0</v>
          </cell>
          <cell r="T192">
            <v>5.9</v>
          </cell>
          <cell r="U192">
            <v>3.282</v>
          </cell>
          <cell r="W192">
            <v>-0.32</v>
          </cell>
          <cell r="X192">
            <v>240</v>
          </cell>
          <cell r="Y192">
            <v>0</v>
          </cell>
        </row>
        <row r="193">
          <cell r="B193" t="str">
            <v>Stroh, Gerste</v>
          </cell>
          <cell r="C193">
            <v>80882</v>
          </cell>
          <cell r="D193">
            <v>2012</v>
          </cell>
          <cell r="E193">
            <v>91.1</v>
          </cell>
          <cell r="F193">
            <v>44</v>
          </cell>
          <cell r="G193">
            <v>430</v>
          </cell>
          <cell r="H193">
            <v>21</v>
          </cell>
          <cell r="I193">
            <v>58</v>
          </cell>
          <cell r="J193">
            <v>444</v>
          </cell>
          <cell r="K193">
            <v>740</v>
          </cell>
          <cell r="L193">
            <v>1.2</v>
          </cell>
          <cell r="M193">
            <v>18.100000000000001</v>
          </cell>
          <cell r="N193">
            <v>4.5</v>
          </cell>
          <cell r="O193">
            <v>0.5</v>
          </cell>
          <cell r="P193">
            <v>0.8</v>
          </cell>
          <cell r="R193">
            <v>82</v>
          </cell>
          <cell r="S193">
            <v>0</v>
          </cell>
          <cell r="T193">
            <v>3.82</v>
          </cell>
          <cell r="U193">
            <v>4.3</v>
          </cell>
          <cell r="W193">
            <v>-6.08</v>
          </cell>
          <cell r="X193">
            <v>137</v>
          </cell>
          <cell r="Y193">
            <v>0</v>
          </cell>
        </row>
        <row r="194">
          <cell r="B194" t="str">
            <v>RES</v>
          </cell>
          <cell r="C194">
            <v>80886</v>
          </cell>
          <cell r="D194">
            <v>2012</v>
          </cell>
          <cell r="E194">
            <v>88</v>
          </cell>
          <cell r="F194">
            <v>380</v>
          </cell>
          <cell r="G194">
            <v>129</v>
          </cell>
          <cell r="H194">
            <v>14</v>
          </cell>
          <cell r="I194">
            <v>79</v>
          </cell>
          <cell r="J194">
            <v>207</v>
          </cell>
          <cell r="K194">
            <v>254</v>
          </cell>
          <cell r="L194">
            <v>16</v>
          </cell>
          <cell r="M194">
            <v>12.4</v>
          </cell>
          <cell r="N194">
            <v>8.4</v>
          </cell>
          <cell r="O194">
            <v>0.6</v>
          </cell>
          <cell r="P194">
            <v>4.9000000000000004</v>
          </cell>
          <cell r="R194">
            <v>250</v>
          </cell>
          <cell r="S194">
            <v>0</v>
          </cell>
          <cell r="T194">
            <v>7.23</v>
          </cell>
          <cell r="U194" t="str">
            <v/>
          </cell>
          <cell r="W194">
            <v>20.8</v>
          </cell>
          <cell r="X194">
            <v>273</v>
          </cell>
          <cell r="Y194">
            <v>0</v>
          </cell>
        </row>
        <row r="195">
          <cell r="B195" t="str">
            <v>SES</v>
          </cell>
          <cell r="C195">
            <v>80887</v>
          </cell>
          <cell r="D195">
            <v>2012</v>
          </cell>
          <cell r="E195">
            <v>88.3</v>
          </cell>
          <cell r="F195">
            <v>515</v>
          </cell>
          <cell r="G195">
            <v>29</v>
          </cell>
          <cell r="H195">
            <v>12</v>
          </cell>
          <cell r="I195">
            <v>65</v>
          </cell>
          <cell r="J195">
            <v>91</v>
          </cell>
          <cell r="K195">
            <v>204</v>
          </cell>
          <cell r="L195">
            <v>8.6</v>
          </cell>
          <cell r="M195">
            <v>21</v>
          </cell>
          <cell r="N195">
            <v>3.9</v>
          </cell>
          <cell r="O195">
            <v>0.3</v>
          </cell>
          <cell r="P195">
            <v>5</v>
          </cell>
          <cell r="R195">
            <v>296</v>
          </cell>
          <cell r="S195">
            <v>0</v>
          </cell>
          <cell r="T195">
            <v>8.6999999999999993</v>
          </cell>
          <cell r="U195" t="str">
            <v/>
          </cell>
          <cell r="W195">
            <v>35.04</v>
          </cell>
          <cell r="X195">
            <v>204</v>
          </cell>
          <cell r="Y195">
            <v>0</v>
          </cell>
        </row>
        <row r="196">
          <cell r="B196" t="str">
            <v>WG 46,5/46,5</v>
          </cell>
          <cell r="C196">
            <v>80888</v>
          </cell>
          <cell r="D196">
            <v>2012</v>
          </cell>
          <cell r="E196">
            <v>90.8</v>
          </cell>
          <cell r="F196">
            <v>103</v>
          </cell>
          <cell r="G196">
            <v>59</v>
          </cell>
          <cell r="H196">
            <v>18</v>
          </cell>
          <cell r="I196">
            <v>179</v>
          </cell>
          <cell r="J196">
            <v>11</v>
          </cell>
          <cell r="K196">
            <v>140</v>
          </cell>
          <cell r="L196">
            <v>13.9</v>
          </cell>
          <cell r="M196">
            <v>5.6</v>
          </cell>
          <cell r="N196">
            <v>28.6</v>
          </cell>
          <cell r="O196">
            <v>20.7</v>
          </cell>
          <cell r="P196">
            <v>5.4</v>
          </cell>
          <cell r="R196">
            <v>137</v>
          </cell>
          <cell r="S196">
            <v>0</v>
          </cell>
          <cell r="T196">
            <v>6.1</v>
          </cell>
          <cell r="U196" t="str">
            <v/>
          </cell>
          <cell r="W196">
            <v>-5.44</v>
          </cell>
          <cell r="X196">
            <v>560</v>
          </cell>
          <cell r="Y196">
            <v>0</v>
          </cell>
        </row>
        <row r="197">
          <cell r="B197" t="str">
            <v>Melasseschnitzel</v>
          </cell>
          <cell r="C197">
            <v>80889</v>
          </cell>
          <cell r="D197">
            <v>2012</v>
          </cell>
          <cell r="E197">
            <v>91.6</v>
          </cell>
          <cell r="F197">
            <v>104</v>
          </cell>
          <cell r="G197">
            <v>142</v>
          </cell>
          <cell r="H197">
            <v>6</v>
          </cell>
          <cell r="I197">
            <v>84</v>
          </cell>
          <cell r="J197">
            <v>140</v>
          </cell>
          <cell r="K197">
            <v>286</v>
          </cell>
          <cell r="L197">
            <v>1.1000000000000001</v>
          </cell>
          <cell r="M197">
            <v>15.8</v>
          </cell>
          <cell r="N197">
            <v>7.2</v>
          </cell>
          <cell r="O197">
            <v>1.2</v>
          </cell>
          <cell r="P197">
            <v>1.7</v>
          </cell>
          <cell r="R197">
            <v>148</v>
          </cell>
          <cell r="S197">
            <v>0</v>
          </cell>
          <cell r="T197">
            <v>7.32</v>
          </cell>
          <cell r="U197" t="str">
            <v/>
          </cell>
          <cell r="W197">
            <v>-7.04</v>
          </cell>
          <cell r="X197">
            <v>520</v>
          </cell>
          <cell r="Y197">
            <v>0</v>
          </cell>
        </row>
        <row r="198">
          <cell r="B198" t="str">
            <v>Heu, 2. S.</v>
          </cell>
          <cell r="C198">
            <v>80890</v>
          </cell>
          <cell r="D198">
            <v>2012</v>
          </cell>
          <cell r="E198">
            <v>91.5</v>
          </cell>
          <cell r="F198">
            <v>113</v>
          </cell>
          <cell r="G198">
            <v>262</v>
          </cell>
          <cell r="H198">
            <v>22</v>
          </cell>
          <cell r="I198">
            <v>77</v>
          </cell>
          <cell r="J198">
            <v>289</v>
          </cell>
          <cell r="K198">
            <v>517</v>
          </cell>
          <cell r="L198">
            <v>4.4000000000000004</v>
          </cell>
          <cell r="M198">
            <v>17.899999999999999</v>
          </cell>
          <cell r="N198">
            <v>5</v>
          </cell>
          <cell r="O198">
            <v>2</v>
          </cell>
          <cell r="P198">
            <v>2.2999999999999998</v>
          </cell>
          <cell r="R198">
            <v>129</v>
          </cell>
          <cell r="S198">
            <v>0</v>
          </cell>
          <cell r="T198">
            <v>5.78</v>
          </cell>
          <cell r="U198">
            <v>3.2519999999999998</v>
          </cell>
          <cell r="W198">
            <v>-2.56</v>
          </cell>
          <cell r="X198">
            <v>271</v>
          </cell>
          <cell r="Y198">
            <v>0</v>
          </cell>
        </row>
        <row r="199">
          <cell r="B199" t="str">
            <v>Stroh, Gerste</v>
          </cell>
          <cell r="C199">
            <v>80891</v>
          </cell>
          <cell r="D199">
            <v>2012</v>
          </cell>
          <cell r="E199">
            <v>90.8</v>
          </cell>
          <cell r="F199">
            <v>34</v>
          </cell>
          <cell r="G199">
            <v>454</v>
          </cell>
          <cell r="H199">
            <v>11</v>
          </cell>
          <cell r="I199">
            <v>45</v>
          </cell>
          <cell r="J199">
            <v>541</v>
          </cell>
          <cell r="K199">
            <v>803</v>
          </cell>
          <cell r="L199">
            <v>1.4</v>
          </cell>
          <cell r="M199">
            <v>13</v>
          </cell>
          <cell r="N199">
            <v>3.5</v>
          </cell>
          <cell r="O199">
            <v>0.7</v>
          </cell>
          <cell r="P199">
            <v>0.6</v>
          </cell>
          <cell r="R199">
            <v>77</v>
          </cell>
          <cell r="S199">
            <v>0</v>
          </cell>
          <cell r="T199">
            <v>3.81</v>
          </cell>
          <cell r="W199">
            <v>-6.88</v>
          </cell>
          <cell r="X199">
            <v>107</v>
          </cell>
          <cell r="Y199">
            <v>0</v>
          </cell>
        </row>
        <row r="200">
          <cell r="B200" t="str">
            <v>Silo 9</v>
          </cell>
          <cell r="C200">
            <v>80892</v>
          </cell>
          <cell r="D200">
            <v>2012</v>
          </cell>
          <cell r="E200">
            <v>31.2</v>
          </cell>
          <cell r="F200">
            <v>181</v>
          </cell>
          <cell r="G200">
            <v>320</v>
          </cell>
          <cell r="H200">
            <v>45</v>
          </cell>
          <cell r="I200">
            <v>125</v>
          </cell>
          <cell r="J200">
            <v>291</v>
          </cell>
          <cell r="K200">
            <v>464</v>
          </cell>
          <cell r="L200">
            <v>4.7</v>
          </cell>
          <cell r="M200">
            <v>31</v>
          </cell>
          <cell r="N200">
            <v>8</v>
          </cell>
          <cell r="O200">
            <v>2</v>
          </cell>
          <cell r="P200">
            <v>2.2999999999999998</v>
          </cell>
          <cell r="R200">
            <v>143</v>
          </cell>
          <cell r="S200">
            <v>0</v>
          </cell>
          <cell r="T200">
            <v>6.38</v>
          </cell>
          <cell r="U200">
            <v>2.9340000000000002</v>
          </cell>
          <cell r="V200">
            <v>35</v>
          </cell>
          <cell r="W200">
            <v>6.08</v>
          </cell>
          <cell r="X200">
            <v>185</v>
          </cell>
          <cell r="Y200">
            <v>0</v>
          </cell>
        </row>
        <row r="201">
          <cell r="B201" t="str">
            <v xml:space="preserve"> Treber</v>
          </cell>
          <cell r="C201">
            <v>80897</v>
          </cell>
          <cell r="D201">
            <v>2013</v>
          </cell>
          <cell r="E201">
            <v>23.3</v>
          </cell>
          <cell r="F201">
            <v>211</v>
          </cell>
          <cell r="G201">
            <v>188</v>
          </cell>
          <cell r="H201">
            <v>82</v>
          </cell>
          <cell r="I201">
            <v>49</v>
          </cell>
          <cell r="J201">
            <v>290</v>
          </cell>
          <cell r="K201">
            <v>614</v>
          </cell>
          <cell r="L201">
            <v>7.9</v>
          </cell>
          <cell r="M201">
            <v>1.8</v>
          </cell>
          <cell r="N201">
            <v>3.6</v>
          </cell>
          <cell r="O201">
            <v>0.1</v>
          </cell>
          <cell r="P201">
            <v>1.9</v>
          </cell>
          <cell r="R201">
            <v>189</v>
          </cell>
          <cell r="S201">
            <v>0</v>
          </cell>
          <cell r="T201">
            <v>6.61</v>
          </cell>
          <cell r="U201">
            <v>1</v>
          </cell>
          <cell r="W201">
            <v>3.52</v>
          </cell>
          <cell r="X201">
            <v>44</v>
          </cell>
          <cell r="Y201">
            <v>0</v>
          </cell>
        </row>
        <row r="202">
          <cell r="B202" t="str">
            <v>RES</v>
          </cell>
          <cell r="C202">
            <v>80898</v>
          </cell>
          <cell r="D202">
            <v>2012</v>
          </cell>
          <cell r="E202">
            <v>87.7</v>
          </cell>
          <cell r="F202">
            <v>388</v>
          </cell>
          <cell r="G202">
            <v>127</v>
          </cell>
          <cell r="H202">
            <v>15</v>
          </cell>
          <cell r="I202">
            <v>79</v>
          </cell>
          <cell r="J202">
            <v>196</v>
          </cell>
          <cell r="K202">
            <v>290</v>
          </cell>
          <cell r="L202">
            <v>16.399999999999999</v>
          </cell>
          <cell r="M202">
            <v>12.3</v>
          </cell>
          <cell r="N202">
            <v>6.4</v>
          </cell>
          <cell r="O202">
            <v>0.6</v>
          </cell>
          <cell r="P202">
            <v>4.4000000000000004</v>
          </cell>
          <cell r="R202">
            <v>253</v>
          </cell>
          <cell r="S202">
            <v>0</v>
          </cell>
          <cell r="T202">
            <v>7.25</v>
          </cell>
          <cell r="W202">
            <v>21.6</v>
          </cell>
          <cell r="X202">
            <v>228</v>
          </cell>
          <cell r="Y202">
            <v>0</v>
          </cell>
        </row>
        <row r="203">
          <cell r="B203" t="str">
            <v>SES</v>
          </cell>
          <cell r="C203">
            <v>80899</v>
          </cell>
          <cell r="D203">
            <v>2012</v>
          </cell>
          <cell r="E203">
            <v>88.3</v>
          </cell>
          <cell r="F203">
            <v>516</v>
          </cell>
          <cell r="G203">
            <v>65</v>
          </cell>
          <cell r="H203">
            <v>12</v>
          </cell>
          <cell r="I203">
            <v>69</v>
          </cell>
          <cell r="J203">
            <v>98</v>
          </cell>
          <cell r="K203">
            <v>241</v>
          </cell>
          <cell r="L203">
            <v>8.6</v>
          </cell>
          <cell r="M203">
            <v>20</v>
          </cell>
          <cell r="N203">
            <v>2.8</v>
          </cell>
          <cell r="O203">
            <v>0.2</v>
          </cell>
          <cell r="P203">
            <v>3.5</v>
          </cell>
          <cell r="R203">
            <v>295</v>
          </cell>
          <cell r="S203">
            <v>0</v>
          </cell>
          <cell r="T203">
            <v>8.6199999999999992</v>
          </cell>
          <cell r="W203">
            <v>35.36</v>
          </cell>
          <cell r="X203">
            <v>162</v>
          </cell>
          <cell r="Y203">
            <v>0</v>
          </cell>
        </row>
        <row r="204">
          <cell r="B204" t="str">
            <v>WG 46,5/46,5</v>
          </cell>
          <cell r="C204">
            <v>80900</v>
          </cell>
          <cell r="D204">
            <v>2012</v>
          </cell>
          <cell r="E204">
            <v>91</v>
          </cell>
          <cell r="F204">
            <v>112</v>
          </cell>
          <cell r="G204">
            <v>99</v>
          </cell>
          <cell r="H204">
            <v>19</v>
          </cell>
          <cell r="I204">
            <v>209</v>
          </cell>
          <cell r="J204">
            <v>12</v>
          </cell>
          <cell r="K204">
            <v>155</v>
          </cell>
          <cell r="L204">
            <v>14</v>
          </cell>
          <cell r="M204">
            <v>6</v>
          </cell>
          <cell r="N204">
            <v>39</v>
          </cell>
          <cell r="O204">
            <v>19</v>
          </cell>
          <cell r="P204">
            <v>5.2</v>
          </cell>
          <cell r="R204">
            <v>135</v>
          </cell>
          <cell r="S204">
            <v>0</v>
          </cell>
          <cell r="T204">
            <v>5.74</v>
          </cell>
          <cell r="W204">
            <v>-3.68</v>
          </cell>
          <cell r="X204">
            <v>505</v>
          </cell>
          <cell r="Y204">
            <v>0</v>
          </cell>
        </row>
        <row r="205">
          <cell r="B205" t="str">
            <v>Melasseschnitzel</v>
          </cell>
          <cell r="C205">
            <v>80901</v>
          </cell>
          <cell r="D205">
            <v>2012</v>
          </cell>
          <cell r="E205">
            <v>91.6</v>
          </cell>
          <cell r="F205">
            <v>104</v>
          </cell>
          <cell r="G205">
            <v>154</v>
          </cell>
          <cell r="H205">
            <v>5</v>
          </cell>
          <cell r="I205">
            <v>85</v>
          </cell>
          <cell r="J205">
            <v>147</v>
          </cell>
          <cell r="K205">
            <v>308</v>
          </cell>
          <cell r="L205">
            <v>1.3</v>
          </cell>
          <cell r="M205">
            <v>15.1</v>
          </cell>
          <cell r="N205">
            <v>5.6</v>
          </cell>
          <cell r="O205">
            <v>1.1000000000000001</v>
          </cell>
          <cell r="P205">
            <v>1.5</v>
          </cell>
          <cell r="R205">
            <v>148</v>
          </cell>
          <cell r="S205">
            <v>0</v>
          </cell>
          <cell r="T205">
            <v>7.31</v>
          </cell>
          <cell r="W205">
            <v>-7.04</v>
          </cell>
          <cell r="X205">
            <v>498</v>
          </cell>
          <cell r="Y205">
            <v>0</v>
          </cell>
        </row>
        <row r="206">
          <cell r="B206" t="str">
            <v>Heu, 2. S.</v>
          </cell>
          <cell r="C206">
            <v>80902</v>
          </cell>
          <cell r="D206">
            <v>2012</v>
          </cell>
          <cell r="E206">
            <v>90.4</v>
          </cell>
          <cell r="F206">
            <v>125</v>
          </cell>
          <cell r="G206">
            <v>267</v>
          </cell>
          <cell r="H206">
            <v>25</v>
          </cell>
          <cell r="I206">
            <v>77</v>
          </cell>
          <cell r="J206">
            <v>277</v>
          </cell>
          <cell r="K206">
            <v>487</v>
          </cell>
          <cell r="L206">
            <v>4.9000000000000004</v>
          </cell>
          <cell r="M206">
            <v>16.3</v>
          </cell>
          <cell r="N206">
            <v>4.8</v>
          </cell>
          <cell r="O206">
            <v>2.1</v>
          </cell>
          <cell r="P206">
            <v>2.1</v>
          </cell>
          <cell r="R206">
            <v>135</v>
          </cell>
          <cell r="S206">
            <v>0</v>
          </cell>
          <cell r="T206">
            <v>5.97</v>
          </cell>
          <cell r="U206">
            <v>3.07</v>
          </cell>
          <cell r="W206">
            <v>-1.6</v>
          </cell>
          <cell r="X206">
            <v>286</v>
          </cell>
          <cell r="Y206">
            <v>0</v>
          </cell>
        </row>
        <row r="207">
          <cell r="B207" t="str">
            <v>Stroh, Gerste</v>
          </cell>
          <cell r="C207">
            <v>80903</v>
          </cell>
          <cell r="D207">
            <v>2012</v>
          </cell>
          <cell r="E207">
            <v>90.9</v>
          </cell>
          <cell r="F207">
            <v>32</v>
          </cell>
          <cell r="G207">
            <v>467</v>
          </cell>
          <cell r="H207">
            <v>17</v>
          </cell>
          <cell r="I207">
            <v>47</v>
          </cell>
          <cell r="J207">
            <v>527</v>
          </cell>
          <cell r="K207">
            <v>830</v>
          </cell>
          <cell r="L207">
            <v>1</v>
          </cell>
          <cell r="M207">
            <v>11.8</v>
          </cell>
          <cell r="N207">
            <v>2.6</v>
          </cell>
          <cell r="O207">
            <v>0.2</v>
          </cell>
          <cell r="P207">
            <v>5.6</v>
          </cell>
          <cell r="R207">
            <v>76</v>
          </cell>
          <cell r="S207">
            <v>0</v>
          </cell>
          <cell r="T207">
            <v>3.82</v>
          </cell>
          <cell r="W207">
            <v>-7.04</v>
          </cell>
          <cell r="X207">
            <v>74</v>
          </cell>
          <cell r="Y207">
            <v>0</v>
          </cell>
        </row>
        <row r="208">
          <cell r="B208" t="str">
            <v>Silo 9</v>
          </cell>
          <cell r="C208">
            <v>80904</v>
          </cell>
          <cell r="D208">
            <v>2012</v>
          </cell>
          <cell r="E208">
            <v>30.1</v>
          </cell>
          <cell r="F208">
            <v>177</v>
          </cell>
          <cell r="G208">
            <v>311</v>
          </cell>
          <cell r="H208">
            <v>41</v>
          </cell>
          <cell r="I208">
            <v>122</v>
          </cell>
          <cell r="J208">
            <v>276</v>
          </cell>
          <cell r="K208">
            <v>462</v>
          </cell>
          <cell r="L208">
            <v>5.0999999999999996</v>
          </cell>
          <cell r="M208">
            <v>29.2</v>
          </cell>
          <cell r="N208">
            <v>4.0999999999999996</v>
          </cell>
          <cell r="O208">
            <v>1.9</v>
          </cell>
          <cell r="P208">
            <v>1.9</v>
          </cell>
          <cell r="R208">
            <v>143</v>
          </cell>
          <cell r="S208">
            <v>0</v>
          </cell>
          <cell r="T208">
            <v>6.42</v>
          </cell>
          <cell r="U208">
            <v>2.92</v>
          </cell>
          <cell r="V208">
            <v>17</v>
          </cell>
          <cell r="W208">
            <v>5.44</v>
          </cell>
          <cell r="X208">
            <v>198</v>
          </cell>
          <cell r="Y208">
            <v>0</v>
          </cell>
        </row>
        <row r="209">
          <cell r="B209" t="str">
            <v xml:space="preserve"> Treber</v>
          </cell>
          <cell r="C209">
            <v>80907</v>
          </cell>
          <cell r="D209">
            <v>2012</v>
          </cell>
          <cell r="E209">
            <v>22.5</v>
          </cell>
          <cell r="F209">
            <v>248</v>
          </cell>
          <cell r="G209">
            <v>191</v>
          </cell>
          <cell r="H209">
            <v>98</v>
          </cell>
          <cell r="I209">
            <v>47</v>
          </cell>
          <cell r="J209">
            <v>251</v>
          </cell>
          <cell r="K209">
            <v>667</v>
          </cell>
          <cell r="L209">
            <v>8.3000000000000007</v>
          </cell>
          <cell r="M209">
            <v>2</v>
          </cell>
          <cell r="N209">
            <v>4.5999999999999996</v>
          </cell>
          <cell r="O209">
            <v>0.2</v>
          </cell>
          <cell r="P209">
            <v>2</v>
          </cell>
          <cell r="R209">
            <v>208</v>
          </cell>
          <cell r="S209">
            <v>0</v>
          </cell>
          <cell r="T209">
            <v>6.82</v>
          </cell>
          <cell r="W209">
            <v>6.4</v>
          </cell>
          <cell r="X209">
            <v>-60</v>
          </cell>
          <cell r="Y209">
            <v>0</v>
          </cell>
        </row>
        <row r="210">
          <cell r="B210" t="str">
            <v>WG 46,5/46,5</v>
          </cell>
          <cell r="C210">
            <v>80908</v>
          </cell>
          <cell r="D210">
            <v>2013</v>
          </cell>
          <cell r="E210">
            <v>87.7</v>
          </cell>
          <cell r="F210">
            <v>106</v>
          </cell>
          <cell r="G210">
            <v>153</v>
          </cell>
          <cell r="H210">
            <v>19</v>
          </cell>
          <cell r="I210">
            <v>177</v>
          </cell>
          <cell r="J210">
            <v>25</v>
          </cell>
          <cell r="K210">
            <v>160</v>
          </cell>
          <cell r="L210">
            <v>12.4</v>
          </cell>
          <cell r="M210">
            <v>6.7</v>
          </cell>
          <cell r="N210">
            <v>27.4</v>
          </cell>
          <cell r="O210">
            <v>18.2</v>
          </cell>
          <cell r="P210">
            <v>5.6</v>
          </cell>
          <cell r="R210">
            <v>138</v>
          </cell>
          <cell r="S210">
            <v>0</v>
          </cell>
          <cell r="T210">
            <v>6.22</v>
          </cell>
          <cell r="W210">
            <v>-5.12</v>
          </cell>
          <cell r="X210">
            <v>538</v>
          </cell>
          <cell r="Y210">
            <v>0</v>
          </cell>
        </row>
        <row r="211">
          <cell r="B211" t="str">
            <v>Melasseschnitzel</v>
          </cell>
          <cell r="C211">
            <v>80909</v>
          </cell>
          <cell r="D211">
            <v>2012</v>
          </cell>
          <cell r="E211">
            <v>91.8</v>
          </cell>
          <cell r="F211">
            <v>103</v>
          </cell>
          <cell r="G211">
            <v>151</v>
          </cell>
          <cell r="H211">
            <v>6</v>
          </cell>
          <cell r="I211">
            <v>80</v>
          </cell>
          <cell r="J211">
            <v>144</v>
          </cell>
          <cell r="K211">
            <v>312</v>
          </cell>
          <cell r="L211">
            <v>1.2</v>
          </cell>
          <cell r="M211">
            <v>16</v>
          </cell>
          <cell r="N211">
            <v>6.6</v>
          </cell>
          <cell r="O211">
            <v>1.1000000000000001</v>
          </cell>
          <cell r="P211">
            <v>1.6</v>
          </cell>
          <cell r="R211">
            <v>148</v>
          </cell>
          <cell r="S211">
            <v>0</v>
          </cell>
          <cell r="T211">
            <v>7.34</v>
          </cell>
          <cell r="W211">
            <v>-7.2</v>
          </cell>
          <cell r="X211">
            <v>499</v>
          </cell>
          <cell r="Y211">
            <v>0</v>
          </cell>
        </row>
        <row r="212">
          <cell r="B212" t="str">
            <v>Heu, 2. S.</v>
          </cell>
          <cell r="C212">
            <v>80910</v>
          </cell>
          <cell r="D212">
            <v>2012</v>
          </cell>
          <cell r="E212">
            <v>89.2</v>
          </cell>
          <cell r="F212">
            <v>126</v>
          </cell>
          <cell r="G212">
            <v>274</v>
          </cell>
          <cell r="H212">
            <v>26</v>
          </cell>
          <cell r="I212">
            <v>78</v>
          </cell>
          <cell r="J212">
            <v>271</v>
          </cell>
          <cell r="K212">
            <v>514</v>
          </cell>
          <cell r="L212">
            <v>3.9</v>
          </cell>
          <cell r="M212">
            <v>14</v>
          </cell>
          <cell r="N212">
            <v>5.8</v>
          </cell>
          <cell r="O212">
            <v>3.3</v>
          </cell>
          <cell r="P212">
            <v>2.6</v>
          </cell>
          <cell r="R212">
            <v>136</v>
          </cell>
          <cell r="S212">
            <v>0</v>
          </cell>
          <cell r="T212">
            <v>6.01</v>
          </cell>
          <cell r="U212">
            <v>3.24</v>
          </cell>
          <cell r="W212">
            <v>-1.6</v>
          </cell>
          <cell r="X212">
            <v>256</v>
          </cell>
          <cell r="Y212">
            <v>0</v>
          </cell>
        </row>
        <row r="213">
          <cell r="B213" t="str">
            <v>Stroh, Gerste</v>
          </cell>
          <cell r="C213">
            <v>80911</v>
          </cell>
          <cell r="D213">
            <v>2012</v>
          </cell>
          <cell r="E213">
            <v>90.9</v>
          </cell>
          <cell r="F213">
            <v>38</v>
          </cell>
          <cell r="G213">
            <v>459</v>
          </cell>
          <cell r="H213">
            <v>21</v>
          </cell>
          <cell r="I213">
            <v>42</v>
          </cell>
          <cell r="J213">
            <v>514</v>
          </cell>
          <cell r="K213">
            <v>806</v>
          </cell>
          <cell r="L213">
            <v>1.4</v>
          </cell>
          <cell r="M213">
            <v>11.2</v>
          </cell>
          <cell r="N213">
            <v>3.5</v>
          </cell>
          <cell r="O213">
            <v>0.3</v>
          </cell>
          <cell r="P213">
            <v>0.6</v>
          </cell>
          <cell r="R213">
            <v>80</v>
          </cell>
          <cell r="S213">
            <v>0</v>
          </cell>
          <cell r="T213">
            <v>3.87</v>
          </cell>
          <cell r="W213">
            <v>-6.72</v>
          </cell>
          <cell r="X213">
            <v>93</v>
          </cell>
          <cell r="Y213">
            <v>0</v>
          </cell>
        </row>
        <row r="214">
          <cell r="B214" t="str">
            <v>Silo 9</v>
          </cell>
          <cell r="C214">
            <v>80912</v>
          </cell>
          <cell r="D214">
            <v>2012</v>
          </cell>
          <cell r="E214">
            <v>30.9</v>
          </cell>
          <cell r="F214">
            <v>187</v>
          </cell>
          <cell r="G214">
            <v>312</v>
          </cell>
          <cell r="H214">
            <v>47</v>
          </cell>
          <cell r="I214">
            <v>115</v>
          </cell>
          <cell r="J214">
            <v>260</v>
          </cell>
          <cell r="K214">
            <v>453</v>
          </cell>
          <cell r="L214">
            <v>5.3</v>
          </cell>
          <cell r="M214">
            <v>32.1</v>
          </cell>
          <cell r="N214">
            <v>5.4</v>
          </cell>
          <cell r="O214">
            <v>2.2999999999999998</v>
          </cell>
          <cell r="P214">
            <v>2.2000000000000002</v>
          </cell>
          <cell r="R214">
            <v>149</v>
          </cell>
          <cell r="S214">
            <v>0</v>
          </cell>
          <cell r="T214">
            <v>6.74</v>
          </cell>
          <cell r="U214">
            <v>2.87</v>
          </cell>
          <cell r="V214">
            <v>12</v>
          </cell>
          <cell r="W214">
            <v>6.08</v>
          </cell>
          <cell r="X214">
            <v>198</v>
          </cell>
          <cell r="Y214">
            <v>0</v>
          </cell>
        </row>
        <row r="215">
          <cell r="B215" t="str">
            <v>RES</v>
          </cell>
          <cell r="C215">
            <v>80915</v>
          </cell>
          <cell r="D215">
            <v>2012</v>
          </cell>
          <cell r="E215">
            <v>87.4</v>
          </cell>
          <cell r="F215">
            <v>401</v>
          </cell>
          <cell r="G215">
            <v>119</v>
          </cell>
          <cell r="H215">
            <v>20</v>
          </cell>
          <cell r="I215">
            <v>80</v>
          </cell>
          <cell r="J215">
            <v>199</v>
          </cell>
          <cell r="K215">
            <v>318</v>
          </cell>
          <cell r="L215">
            <v>16</v>
          </cell>
          <cell r="M215">
            <v>13.5</v>
          </cell>
          <cell r="N215">
            <v>7.3</v>
          </cell>
          <cell r="O215">
            <v>0.2</v>
          </cell>
          <cell r="P215">
            <v>5</v>
          </cell>
          <cell r="R215">
            <v>259</v>
          </cell>
          <cell r="S215">
            <v>0</v>
          </cell>
          <cell r="T215">
            <v>7.3</v>
          </cell>
          <cell r="W215">
            <v>22.72</v>
          </cell>
          <cell r="X215">
            <v>181</v>
          </cell>
          <cell r="Y215">
            <v>0</v>
          </cell>
        </row>
        <row r="216">
          <cell r="B216" t="str">
            <v>SES</v>
          </cell>
          <cell r="C216">
            <v>80916</v>
          </cell>
          <cell r="D216">
            <v>2012</v>
          </cell>
          <cell r="E216">
            <v>88</v>
          </cell>
          <cell r="F216">
            <v>523</v>
          </cell>
          <cell r="G216">
            <v>48</v>
          </cell>
          <cell r="H216">
            <v>12</v>
          </cell>
          <cell r="I216">
            <v>71</v>
          </cell>
          <cell r="J216">
            <v>107</v>
          </cell>
          <cell r="K216">
            <v>242</v>
          </cell>
          <cell r="L216">
            <v>8.8000000000000007</v>
          </cell>
          <cell r="M216">
            <v>22.4</v>
          </cell>
          <cell r="N216">
            <v>3.2</v>
          </cell>
          <cell r="O216">
            <v>0.1</v>
          </cell>
          <cell r="P216">
            <v>3.9</v>
          </cell>
          <cell r="R216">
            <v>297</v>
          </cell>
          <cell r="S216">
            <v>0</v>
          </cell>
          <cell r="T216">
            <v>8.6300000000000008</v>
          </cell>
          <cell r="W216">
            <v>36.159999999999997</v>
          </cell>
          <cell r="X216">
            <v>152</v>
          </cell>
          <cell r="Y216">
            <v>0</v>
          </cell>
        </row>
        <row r="217">
          <cell r="B217" t="str">
            <v>Silo 9</v>
          </cell>
          <cell r="C217">
            <v>80917</v>
          </cell>
          <cell r="D217">
            <v>2012</v>
          </cell>
          <cell r="E217">
            <v>44.2</v>
          </cell>
          <cell r="F217">
            <v>165</v>
          </cell>
          <cell r="G217">
            <v>279</v>
          </cell>
          <cell r="H217">
            <v>38</v>
          </cell>
          <cell r="I217">
            <v>168</v>
          </cell>
          <cell r="J217">
            <v>234</v>
          </cell>
          <cell r="K217">
            <v>415</v>
          </cell>
          <cell r="L217">
            <v>5.7</v>
          </cell>
          <cell r="M217">
            <v>27</v>
          </cell>
          <cell r="N217">
            <v>6.3</v>
          </cell>
          <cell r="O217">
            <v>1.2</v>
          </cell>
          <cell r="P217">
            <v>2.4</v>
          </cell>
          <cell r="R217">
            <v>139</v>
          </cell>
          <cell r="S217">
            <v>0</v>
          </cell>
          <cell r="T217">
            <v>6.32</v>
          </cell>
          <cell r="V217">
            <v>35</v>
          </cell>
          <cell r="W217">
            <v>4.16</v>
          </cell>
          <cell r="X217">
            <v>214</v>
          </cell>
          <cell r="Y217">
            <v>0</v>
          </cell>
        </row>
        <row r="218">
          <cell r="B218" t="str">
            <v>Silo 6</v>
          </cell>
          <cell r="C218">
            <v>80918</v>
          </cell>
          <cell r="D218">
            <v>2011</v>
          </cell>
          <cell r="S218">
            <v>0</v>
          </cell>
          <cell r="V218">
            <v>4</v>
          </cell>
          <cell r="W218">
            <v>0</v>
          </cell>
          <cell r="Y218">
            <v>0</v>
          </cell>
        </row>
        <row r="219">
          <cell r="B219" t="str">
            <v>Silo 6</v>
          </cell>
          <cell r="C219">
            <v>80918</v>
          </cell>
          <cell r="D219">
            <v>2011</v>
          </cell>
          <cell r="E219">
            <v>34</v>
          </cell>
          <cell r="F219">
            <v>74</v>
          </cell>
          <cell r="G219">
            <v>156</v>
          </cell>
          <cell r="H219">
            <v>37</v>
          </cell>
          <cell r="I219">
            <v>38</v>
          </cell>
          <cell r="J219">
            <v>173</v>
          </cell>
          <cell r="K219">
            <v>450</v>
          </cell>
          <cell r="L219">
            <v>2.7</v>
          </cell>
          <cell r="M219">
            <v>9.3000000000000007</v>
          </cell>
          <cell r="N219">
            <v>2.7</v>
          </cell>
          <cell r="O219">
            <v>0.1</v>
          </cell>
          <cell r="P219">
            <v>1</v>
          </cell>
          <cell r="R219">
            <v>136</v>
          </cell>
          <cell r="S219">
            <v>0</v>
          </cell>
          <cell r="T219">
            <v>6.94</v>
          </cell>
          <cell r="U219">
            <v>2.13</v>
          </cell>
          <cell r="W219">
            <v>-9.92</v>
          </cell>
          <cell r="X219">
            <v>401</v>
          </cell>
          <cell r="Y219">
            <v>0</v>
          </cell>
        </row>
        <row r="220">
          <cell r="B220" t="str">
            <v>Pressschnitzel</v>
          </cell>
          <cell r="C220">
            <v>80919</v>
          </cell>
          <cell r="D220">
            <v>2012</v>
          </cell>
          <cell r="F220">
            <v>88</v>
          </cell>
          <cell r="G220">
            <v>201</v>
          </cell>
          <cell r="H220">
            <v>5</v>
          </cell>
          <cell r="I220">
            <v>104</v>
          </cell>
          <cell r="J220">
            <v>195</v>
          </cell>
          <cell r="K220">
            <v>531</v>
          </cell>
          <cell r="L220">
            <v>1.5</v>
          </cell>
          <cell r="M220">
            <v>4.3</v>
          </cell>
          <cell r="N220">
            <v>10.7</v>
          </cell>
          <cell r="O220">
            <v>0.5</v>
          </cell>
          <cell r="P220">
            <v>2.4</v>
          </cell>
          <cell r="R220">
            <v>140</v>
          </cell>
          <cell r="S220">
            <v>0</v>
          </cell>
          <cell r="T220">
            <v>7.1</v>
          </cell>
          <cell r="V220">
            <v>36</v>
          </cell>
          <cell r="W220">
            <v>-8.32</v>
          </cell>
          <cell r="X220">
            <v>272</v>
          </cell>
          <cell r="Y220">
            <v>0</v>
          </cell>
        </row>
        <row r="221">
          <cell r="B221" t="str">
            <v xml:space="preserve"> Treber</v>
          </cell>
          <cell r="C221">
            <v>80920</v>
          </cell>
          <cell r="D221">
            <v>2013</v>
          </cell>
          <cell r="E221">
            <v>21.3</v>
          </cell>
          <cell r="F221">
            <v>234</v>
          </cell>
          <cell r="G221">
            <v>188</v>
          </cell>
          <cell r="H221">
            <v>80</v>
          </cell>
          <cell r="I221">
            <v>45</v>
          </cell>
          <cell r="J221">
            <v>291</v>
          </cell>
          <cell r="K221">
            <v>650</v>
          </cell>
          <cell r="L221">
            <v>7.3</v>
          </cell>
          <cell r="M221">
            <v>2.5</v>
          </cell>
          <cell r="N221">
            <v>4.5999999999999996</v>
          </cell>
          <cell r="O221">
            <v>0.2</v>
          </cell>
          <cell r="P221">
            <v>2.1</v>
          </cell>
          <cell r="R221">
            <v>200</v>
          </cell>
          <cell r="S221">
            <v>0</v>
          </cell>
          <cell r="T221">
            <v>6.66</v>
          </cell>
          <cell r="V221">
            <v>7</v>
          </cell>
          <cell r="W221">
            <v>5.44</v>
          </cell>
          <cell r="X221">
            <v>-9</v>
          </cell>
          <cell r="Y221">
            <v>0</v>
          </cell>
        </row>
        <row r="222">
          <cell r="B222" t="str">
            <v>WG 46,5/46,5</v>
          </cell>
          <cell r="C222">
            <v>80921</v>
          </cell>
          <cell r="D222">
            <v>2013</v>
          </cell>
          <cell r="E222">
            <v>89.4</v>
          </cell>
          <cell r="F222">
            <v>121</v>
          </cell>
          <cell r="G222">
            <v>58</v>
          </cell>
          <cell r="H222">
            <v>19</v>
          </cell>
          <cell r="I222">
            <v>71</v>
          </cell>
          <cell r="J222">
            <v>31</v>
          </cell>
          <cell r="K222">
            <v>185</v>
          </cell>
          <cell r="L222">
            <v>7.9</v>
          </cell>
          <cell r="M222">
            <v>6.6</v>
          </cell>
          <cell r="N222">
            <v>9.3000000000000007</v>
          </cell>
          <cell r="O222">
            <v>5.3</v>
          </cell>
          <cell r="P222">
            <v>2.8</v>
          </cell>
          <cell r="R222">
            <v>165</v>
          </cell>
          <cell r="S222">
            <v>0</v>
          </cell>
          <cell r="T222">
            <v>8.3699999999999992</v>
          </cell>
          <cell r="W222">
            <v>-7.04</v>
          </cell>
          <cell r="X222">
            <v>604</v>
          </cell>
          <cell r="Y222">
            <v>0</v>
          </cell>
        </row>
        <row r="223">
          <cell r="B223" t="str">
            <v>GB 40/54,5/4/1,5</v>
          </cell>
          <cell r="C223">
            <v>80922</v>
          </cell>
          <cell r="D223">
            <v>2013</v>
          </cell>
          <cell r="E223">
            <v>89.7</v>
          </cell>
          <cell r="F223">
            <v>213</v>
          </cell>
          <cell r="G223">
            <v>134</v>
          </cell>
          <cell r="H223">
            <v>19</v>
          </cell>
          <cell r="I223">
            <v>72</v>
          </cell>
          <cell r="J223">
            <v>58</v>
          </cell>
          <cell r="K223">
            <v>260</v>
          </cell>
          <cell r="L223">
            <v>9</v>
          </cell>
          <cell r="M223">
            <v>10.9</v>
          </cell>
          <cell r="N223">
            <v>9.5</v>
          </cell>
          <cell r="O223">
            <v>4</v>
          </cell>
          <cell r="P223">
            <v>2.6</v>
          </cell>
          <cell r="R223">
            <v>181</v>
          </cell>
          <cell r="S223">
            <v>0</v>
          </cell>
          <cell r="T223">
            <v>8.27</v>
          </cell>
          <cell r="W223">
            <v>5.12</v>
          </cell>
          <cell r="X223">
            <v>436</v>
          </cell>
          <cell r="Y223">
            <v>0</v>
          </cell>
        </row>
        <row r="224">
          <cell r="B224" t="str">
            <v>Ackerbohnen</v>
          </cell>
          <cell r="C224">
            <v>80923</v>
          </cell>
          <cell r="D224">
            <v>2012</v>
          </cell>
          <cell r="E224">
            <v>88.7</v>
          </cell>
          <cell r="F224">
            <v>274</v>
          </cell>
          <cell r="G224">
            <v>157</v>
          </cell>
          <cell r="H224">
            <v>13</v>
          </cell>
          <cell r="I224">
            <v>37</v>
          </cell>
          <cell r="J224">
            <v>164</v>
          </cell>
          <cell r="K224">
            <v>391</v>
          </cell>
          <cell r="L224">
            <v>7.9</v>
          </cell>
          <cell r="M224">
            <v>13.2</v>
          </cell>
          <cell r="N224">
            <v>1.7</v>
          </cell>
          <cell r="O224">
            <v>0.1</v>
          </cell>
          <cell r="P224">
            <v>1.4</v>
          </cell>
          <cell r="R224">
            <v>195</v>
          </cell>
          <cell r="S224">
            <v>0</v>
          </cell>
          <cell r="T224">
            <v>8.34</v>
          </cell>
          <cell r="W224">
            <v>12.64</v>
          </cell>
          <cell r="X224">
            <v>285</v>
          </cell>
          <cell r="Y224">
            <v>0</v>
          </cell>
        </row>
        <row r="225">
          <cell r="B225" t="str">
            <v>*RES</v>
          </cell>
          <cell r="C225">
            <v>80924</v>
          </cell>
          <cell r="D225">
            <v>2013</v>
          </cell>
          <cell r="E225">
            <v>87.6</v>
          </cell>
          <cell r="F225">
            <v>401</v>
          </cell>
          <cell r="G225">
            <v>115</v>
          </cell>
          <cell r="H225">
            <v>17</v>
          </cell>
          <cell r="I225">
            <v>80</v>
          </cell>
          <cell r="J225">
            <v>192</v>
          </cell>
          <cell r="K225">
            <v>332</v>
          </cell>
          <cell r="L225">
            <v>15.9</v>
          </cell>
          <cell r="M225">
            <v>13.6</v>
          </cell>
          <cell r="N225">
            <v>7.4</v>
          </cell>
          <cell r="O225">
            <v>0.2</v>
          </cell>
          <cell r="P225">
            <v>5.0999999999999996</v>
          </cell>
          <cell r="Q225">
            <v>0</v>
          </cell>
          <cell r="R225">
            <v>243</v>
          </cell>
          <cell r="S225">
            <v>0</v>
          </cell>
          <cell r="T225">
            <v>6.08</v>
          </cell>
          <cell r="U225">
            <v>0</v>
          </cell>
          <cell r="V225">
            <v>0</v>
          </cell>
          <cell r="W225">
            <v>25.28</v>
          </cell>
          <cell r="X225">
            <v>170</v>
          </cell>
          <cell r="Y225">
            <v>0</v>
          </cell>
        </row>
        <row r="226">
          <cell r="B226" t="str">
            <v>Heu, 2. S.</v>
          </cell>
          <cell r="C226">
            <v>80925</v>
          </cell>
          <cell r="D226">
            <v>2012</v>
          </cell>
          <cell r="E226">
            <v>91.4</v>
          </cell>
          <cell r="F226">
            <v>112</v>
          </cell>
          <cell r="G226">
            <v>320</v>
          </cell>
          <cell r="H226">
            <v>20</v>
          </cell>
          <cell r="I226">
            <v>74</v>
          </cell>
          <cell r="J226">
            <v>315</v>
          </cell>
          <cell r="K226">
            <v>556</v>
          </cell>
          <cell r="L226">
            <v>4.3</v>
          </cell>
          <cell r="M226">
            <v>16.100000000000001</v>
          </cell>
          <cell r="N226">
            <v>4.5999999999999996</v>
          </cell>
          <cell r="O226">
            <v>1.9</v>
          </cell>
          <cell r="P226">
            <v>2</v>
          </cell>
          <cell r="R226">
            <v>128</v>
          </cell>
          <cell r="S226">
            <v>0</v>
          </cell>
          <cell r="T226">
            <v>5.68</v>
          </cell>
          <cell r="U226">
            <v>3.49</v>
          </cell>
          <cell r="W226">
            <v>-2.56</v>
          </cell>
          <cell r="X226">
            <v>238</v>
          </cell>
          <cell r="Y226">
            <v>0</v>
          </cell>
        </row>
        <row r="227">
          <cell r="B227" t="str">
            <v>Stroh, Gerste</v>
          </cell>
          <cell r="C227">
            <v>80926</v>
          </cell>
          <cell r="D227">
            <v>2012</v>
          </cell>
          <cell r="E227">
            <v>89.9</v>
          </cell>
          <cell r="F227">
            <v>30</v>
          </cell>
          <cell r="G227">
            <v>503</v>
          </cell>
          <cell r="H227">
            <v>14</v>
          </cell>
          <cell r="I227">
            <v>55</v>
          </cell>
          <cell r="J227">
            <v>516</v>
          </cell>
          <cell r="K227">
            <v>817</v>
          </cell>
          <cell r="L227">
            <v>1.2</v>
          </cell>
          <cell r="M227">
            <v>14.2</v>
          </cell>
          <cell r="N227">
            <v>4.7</v>
          </cell>
          <cell r="O227">
            <v>0.4</v>
          </cell>
          <cell r="P227">
            <v>0.8</v>
          </cell>
          <cell r="R227">
            <v>74</v>
          </cell>
          <cell r="S227">
            <v>0</v>
          </cell>
          <cell r="T227">
            <v>3.76</v>
          </cell>
          <cell r="U227">
            <v>4.3</v>
          </cell>
          <cell r="W227">
            <v>-7.04</v>
          </cell>
          <cell r="X227">
            <v>84</v>
          </cell>
          <cell r="Y227">
            <v>0</v>
          </cell>
        </row>
        <row r="228">
          <cell r="B228" t="str">
            <v>RES</v>
          </cell>
          <cell r="C228">
            <v>80929</v>
          </cell>
          <cell r="D228">
            <v>2013</v>
          </cell>
          <cell r="E228">
            <v>88.9</v>
          </cell>
          <cell r="F228">
            <v>376</v>
          </cell>
          <cell r="G228">
            <v>145</v>
          </cell>
          <cell r="H228">
            <v>22</v>
          </cell>
          <cell r="I228">
            <v>75</v>
          </cell>
          <cell r="J228">
            <v>259</v>
          </cell>
          <cell r="K228">
            <v>381</v>
          </cell>
          <cell r="L228">
            <v>15.9</v>
          </cell>
          <cell r="M228">
            <v>14.5</v>
          </cell>
          <cell r="N228">
            <v>9.6</v>
          </cell>
          <cell r="O228">
            <v>1.3</v>
          </cell>
          <cell r="P228">
            <v>4.5</v>
          </cell>
          <cell r="Q228">
            <v>0</v>
          </cell>
          <cell r="R228">
            <v>250</v>
          </cell>
          <cell r="S228">
            <v>0</v>
          </cell>
          <cell r="T228">
            <v>7.3</v>
          </cell>
          <cell r="U228">
            <v>0.36</v>
          </cell>
          <cell r="V228">
            <v>0</v>
          </cell>
          <cell r="W228">
            <v>20.16</v>
          </cell>
          <cell r="X228">
            <v>146</v>
          </cell>
          <cell r="Y228">
            <v>0</v>
          </cell>
        </row>
        <row r="229">
          <cell r="B229" t="str">
            <v>Silo 1</v>
          </cell>
          <cell r="C229">
            <v>80930</v>
          </cell>
          <cell r="D229">
            <v>2012</v>
          </cell>
          <cell r="E229">
            <v>45</v>
          </cell>
          <cell r="F229">
            <v>148</v>
          </cell>
          <cell r="G229">
            <v>331</v>
          </cell>
          <cell r="H229">
            <v>33</v>
          </cell>
          <cell r="I229">
            <v>155</v>
          </cell>
          <cell r="J229">
            <v>292</v>
          </cell>
          <cell r="K229">
            <v>437</v>
          </cell>
          <cell r="L229">
            <v>5.6</v>
          </cell>
          <cell r="M229">
            <v>28.6</v>
          </cell>
          <cell r="N229">
            <v>6.3</v>
          </cell>
          <cell r="O229">
            <v>1.3</v>
          </cell>
          <cell r="P229">
            <v>2.1</v>
          </cell>
          <cell r="R229">
            <v>129</v>
          </cell>
          <cell r="S229">
            <v>0</v>
          </cell>
          <cell r="T229">
            <v>5.83</v>
          </cell>
          <cell r="U229">
            <v>2.77</v>
          </cell>
          <cell r="V229">
            <v>31</v>
          </cell>
          <cell r="W229">
            <v>3.04</v>
          </cell>
          <cell r="X229">
            <v>227</v>
          </cell>
          <cell r="Y229">
            <v>0</v>
          </cell>
        </row>
        <row r="230">
          <cell r="B230" t="str">
            <v>Silo 6</v>
          </cell>
          <cell r="C230">
            <v>80931</v>
          </cell>
          <cell r="D230">
            <v>2011</v>
          </cell>
          <cell r="S230">
            <v>0</v>
          </cell>
          <cell r="V230">
            <v>5</v>
          </cell>
          <cell r="W230">
            <v>0</v>
          </cell>
          <cell r="Y230">
            <v>0</v>
          </cell>
        </row>
        <row r="231">
          <cell r="B231" t="str">
            <v>Silo 6</v>
          </cell>
          <cell r="C231">
            <v>80931</v>
          </cell>
          <cell r="D231">
            <v>2011</v>
          </cell>
          <cell r="E231">
            <v>38.299999999999997</v>
          </cell>
          <cell r="F231">
            <v>77</v>
          </cell>
          <cell r="G231">
            <v>171</v>
          </cell>
          <cell r="H231">
            <v>42</v>
          </cell>
          <cell r="I231">
            <v>35</v>
          </cell>
          <cell r="J231">
            <v>185</v>
          </cell>
          <cell r="K231">
            <v>378</v>
          </cell>
          <cell r="L231">
            <v>3.4</v>
          </cell>
          <cell r="M231">
            <v>9.4</v>
          </cell>
          <cell r="N231">
            <v>2.5</v>
          </cell>
          <cell r="O231">
            <v>0.3</v>
          </cell>
          <cell r="P231">
            <v>1.2</v>
          </cell>
          <cell r="R231">
            <v>143</v>
          </cell>
          <cell r="S231">
            <v>0</v>
          </cell>
          <cell r="T231">
            <v>7.41</v>
          </cell>
          <cell r="U231">
            <v>1.7</v>
          </cell>
          <cell r="W231">
            <v>-10.56</v>
          </cell>
          <cell r="X231">
            <v>468</v>
          </cell>
          <cell r="Y231">
            <v>0</v>
          </cell>
        </row>
        <row r="232">
          <cell r="B232" t="str">
            <v>Pressschnitzel</v>
          </cell>
          <cell r="C232">
            <v>80932</v>
          </cell>
          <cell r="D232">
            <v>2012</v>
          </cell>
          <cell r="E232">
            <v>31.7</v>
          </cell>
          <cell r="F232">
            <v>90</v>
          </cell>
          <cell r="G232">
            <v>232</v>
          </cell>
          <cell r="H232">
            <v>5.5</v>
          </cell>
          <cell r="I232">
            <v>105</v>
          </cell>
          <cell r="J232">
            <v>227</v>
          </cell>
          <cell r="K232">
            <v>500</v>
          </cell>
          <cell r="L232">
            <v>1.4</v>
          </cell>
          <cell r="M232">
            <v>3.8</v>
          </cell>
          <cell r="N232">
            <v>10.6</v>
          </cell>
          <cell r="O232">
            <v>0.3</v>
          </cell>
          <cell r="P232">
            <v>2.2000000000000002</v>
          </cell>
          <cell r="R232">
            <v>140</v>
          </cell>
          <cell r="S232">
            <v>0</v>
          </cell>
          <cell r="T232">
            <v>7.07</v>
          </cell>
          <cell r="U232">
            <v>1.05</v>
          </cell>
          <cell r="V232">
            <v>27</v>
          </cell>
          <cell r="W232">
            <v>-8</v>
          </cell>
          <cell r="X232">
            <v>299.5</v>
          </cell>
          <cell r="Y232">
            <v>0</v>
          </cell>
        </row>
        <row r="233">
          <cell r="B233" t="str">
            <v xml:space="preserve"> Treber</v>
          </cell>
          <cell r="C233">
            <v>80933</v>
          </cell>
          <cell r="D233">
            <v>2013</v>
          </cell>
          <cell r="E233">
            <v>22.2</v>
          </cell>
          <cell r="F233">
            <v>214</v>
          </cell>
          <cell r="G233">
            <v>213</v>
          </cell>
          <cell r="H233">
            <v>80</v>
          </cell>
          <cell r="I233">
            <v>42</v>
          </cell>
          <cell r="J233">
            <v>336</v>
          </cell>
          <cell r="K233">
            <v>637</v>
          </cell>
          <cell r="L233">
            <v>7.7</v>
          </cell>
          <cell r="M233">
            <v>2</v>
          </cell>
          <cell r="N233">
            <v>5.0999999999999996</v>
          </cell>
          <cell r="O233">
            <v>0.3</v>
          </cell>
          <cell r="P233">
            <v>1.9</v>
          </cell>
          <cell r="R233">
            <v>191</v>
          </cell>
          <cell r="S233">
            <v>0</v>
          </cell>
          <cell r="T233">
            <v>6.63</v>
          </cell>
          <cell r="U233">
            <v>1</v>
          </cell>
          <cell r="V233">
            <v>12</v>
          </cell>
          <cell r="W233">
            <v>3.68</v>
          </cell>
          <cell r="X233">
            <v>27</v>
          </cell>
          <cell r="Y233">
            <v>0</v>
          </cell>
        </row>
        <row r="234">
          <cell r="B234" t="str">
            <v>WG 46,5/46,5</v>
          </cell>
          <cell r="C234">
            <v>80934</v>
          </cell>
          <cell r="D234">
            <v>2013</v>
          </cell>
          <cell r="E234">
            <v>89.3</v>
          </cell>
          <cell r="F234">
            <v>262</v>
          </cell>
          <cell r="G234">
            <v>142</v>
          </cell>
          <cell r="H234">
            <v>19</v>
          </cell>
          <cell r="I234">
            <v>73</v>
          </cell>
          <cell r="J234">
            <v>122</v>
          </cell>
          <cell r="K234">
            <v>261</v>
          </cell>
          <cell r="L234">
            <v>11.1</v>
          </cell>
          <cell r="M234">
            <v>10.4</v>
          </cell>
          <cell r="N234">
            <v>10.1</v>
          </cell>
          <cell r="O234">
            <v>2.9</v>
          </cell>
          <cell r="P234">
            <v>3.2</v>
          </cell>
          <cell r="R234">
            <v>194</v>
          </cell>
          <cell r="S234">
            <v>0</v>
          </cell>
          <cell r="T234">
            <v>7.56</v>
          </cell>
          <cell r="W234">
            <v>10.88</v>
          </cell>
          <cell r="X234">
            <v>385</v>
          </cell>
          <cell r="Y234">
            <v>0</v>
          </cell>
        </row>
        <row r="235">
          <cell r="B235" t="str">
            <v>GB 40/54,5/4/1,5</v>
          </cell>
          <cell r="C235">
            <v>80935</v>
          </cell>
          <cell r="D235">
            <v>2013</v>
          </cell>
          <cell r="E235">
            <v>89.3</v>
          </cell>
          <cell r="F235">
            <v>244</v>
          </cell>
          <cell r="G235">
            <v>204</v>
          </cell>
          <cell r="H235">
            <v>17</v>
          </cell>
          <cell r="I235">
            <v>96</v>
          </cell>
          <cell r="J235">
            <v>124</v>
          </cell>
          <cell r="K235">
            <v>287</v>
          </cell>
          <cell r="L235">
            <v>11.4</v>
          </cell>
          <cell r="M235">
            <v>11.3</v>
          </cell>
          <cell r="N235">
            <v>16</v>
          </cell>
          <cell r="O235">
            <v>6.8</v>
          </cell>
          <cell r="P235">
            <v>3.2</v>
          </cell>
          <cell r="R235">
            <v>180</v>
          </cell>
          <cell r="S235">
            <v>0</v>
          </cell>
          <cell r="T235">
            <v>7.63</v>
          </cell>
          <cell r="W235">
            <v>10.24</v>
          </cell>
          <cell r="X235">
            <v>356</v>
          </cell>
          <cell r="Y235">
            <v>0</v>
          </cell>
        </row>
        <row r="236">
          <cell r="B236" t="str">
            <v>Ackerbohnen</v>
          </cell>
          <cell r="C236">
            <v>80936</v>
          </cell>
          <cell r="D236">
            <v>2012</v>
          </cell>
          <cell r="E236">
            <v>88</v>
          </cell>
          <cell r="F236">
            <v>274</v>
          </cell>
          <cell r="G236">
            <v>228</v>
          </cell>
          <cell r="H236">
            <v>13</v>
          </cell>
          <cell r="I236">
            <v>36</v>
          </cell>
          <cell r="J236">
            <v>225</v>
          </cell>
          <cell r="K236">
            <v>379</v>
          </cell>
          <cell r="L236">
            <v>8.3000000000000007</v>
          </cell>
          <cell r="M236">
            <v>15.1</v>
          </cell>
          <cell r="N236">
            <v>2.2000000000000002</v>
          </cell>
          <cell r="O236">
            <v>0.3</v>
          </cell>
          <cell r="P236">
            <v>1.6</v>
          </cell>
          <cell r="R236">
            <v>189</v>
          </cell>
          <cell r="S236">
            <v>0</v>
          </cell>
          <cell r="T236">
            <v>8.48</v>
          </cell>
          <cell r="W236">
            <v>13.6</v>
          </cell>
          <cell r="X236">
            <v>298</v>
          </cell>
          <cell r="Y236">
            <v>0</v>
          </cell>
        </row>
        <row r="237">
          <cell r="B237" t="str">
            <v>RES</v>
          </cell>
          <cell r="C237">
            <v>80937</v>
          </cell>
          <cell r="D237">
            <v>2013</v>
          </cell>
          <cell r="E237">
            <v>88.8</v>
          </cell>
          <cell r="F237">
            <v>377</v>
          </cell>
          <cell r="G237">
            <v>144</v>
          </cell>
          <cell r="H237">
            <v>22</v>
          </cell>
          <cell r="I237">
            <v>77</v>
          </cell>
          <cell r="J237">
            <v>249</v>
          </cell>
          <cell r="K237">
            <v>369</v>
          </cell>
          <cell r="L237">
            <v>15</v>
          </cell>
          <cell r="M237">
            <v>15.2</v>
          </cell>
          <cell r="N237">
            <v>9</v>
          </cell>
          <cell r="O237">
            <v>1.1000000000000001</v>
          </cell>
          <cell r="P237">
            <v>4.7</v>
          </cell>
          <cell r="R237">
            <v>250</v>
          </cell>
          <cell r="S237">
            <v>0</v>
          </cell>
          <cell r="T237">
            <v>7.29</v>
          </cell>
          <cell r="W237">
            <v>20.32</v>
          </cell>
          <cell r="X237">
            <v>155</v>
          </cell>
          <cell r="Y237">
            <v>0</v>
          </cell>
        </row>
        <row r="238">
          <cell r="B238" t="str">
            <v>Heu, 2. S.</v>
          </cell>
          <cell r="C238">
            <v>80938</v>
          </cell>
          <cell r="D238">
            <v>2012</v>
          </cell>
          <cell r="E238">
            <v>90.8</v>
          </cell>
          <cell r="F238">
            <v>134</v>
          </cell>
          <cell r="G238">
            <v>347</v>
          </cell>
          <cell r="H238">
            <v>31</v>
          </cell>
          <cell r="I238">
            <v>76</v>
          </cell>
          <cell r="J238">
            <v>329</v>
          </cell>
          <cell r="K238">
            <v>537</v>
          </cell>
          <cell r="L238">
            <v>5.0999999999999996</v>
          </cell>
          <cell r="M238">
            <v>18.8</v>
          </cell>
          <cell r="N238">
            <v>6.3</v>
          </cell>
          <cell r="O238">
            <v>2.9</v>
          </cell>
          <cell r="P238">
            <v>2.6</v>
          </cell>
          <cell r="R238">
            <v>135</v>
          </cell>
          <cell r="S238">
            <v>0</v>
          </cell>
          <cell r="T238">
            <v>5.81</v>
          </cell>
          <cell r="W238">
            <v>-0.16</v>
          </cell>
          <cell r="X238">
            <v>222</v>
          </cell>
          <cell r="Y238">
            <v>0</v>
          </cell>
        </row>
        <row r="239">
          <cell r="B239" t="str">
            <v>Stroh, Gerste</v>
          </cell>
          <cell r="C239">
            <v>80939</v>
          </cell>
          <cell r="D239">
            <v>2012</v>
          </cell>
          <cell r="E239">
            <v>91.6</v>
          </cell>
          <cell r="F239">
            <v>29</v>
          </cell>
          <cell r="G239">
            <v>508</v>
          </cell>
          <cell r="H239">
            <v>17</v>
          </cell>
          <cell r="I239">
            <v>55</v>
          </cell>
          <cell r="J239">
            <v>523</v>
          </cell>
          <cell r="K239">
            <v>831</v>
          </cell>
          <cell r="L239">
            <v>1</v>
          </cell>
          <cell r="M239">
            <v>13.9</v>
          </cell>
          <cell r="N239">
            <v>5.6</v>
          </cell>
          <cell r="O239">
            <v>0.4</v>
          </cell>
          <cell r="P239">
            <v>0.9</v>
          </cell>
          <cell r="R239">
            <v>74</v>
          </cell>
          <cell r="S239">
            <v>0</v>
          </cell>
          <cell r="T239">
            <v>3.76</v>
          </cell>
          <cell r="W239">
            <v>-7.2</v>
          </cell>
          <cell r="X239">
            <v>68</v>
          </cell>
          <cell r="Y239">
            <v>0</v>
          </cell>
        </row>
        <row r="240">
          <cell r="B240" t="str">
            <v>Silo 1</v>
          </cell>
          <cell r="C240">
            <v>80944</v>
          </cell>
          <cell r="D240">
            <v>2012</v>
          </cell>
          <cell r="S240">
            <v>0</v>
          </cell>
          <cell r="V240">
            <v>48</v>
          </cell>
          <cell r="W240">
            <v>0</v>
          </cell>
          <cell r="Y240">
            <v>0</v>
          </cell>
        </row>
        <row r="241">
          <cell r="B241" t="str">
            <v>Silo 1</v>
          </cell>
          <cell r="C241">
            <v>80944</v>
          </cell>
          <cell r="D241">
            <v>2012</v>
          </cell>
          <cell r="E241">
            <v>37.700000000000003</v>
          </cell>
          <cell r="F241">
            <v>157</v>
          </cell>
          <cell r="G241">
            <v>336</v>
          </cell>
          <cell r="H241">
            <v>35</v>
          </cell>
          <cell r="I241">
            <v>146</v>
          </cell>
          <cell r="J241">
            <v>264</v>
          </cell>
          <cell r="K241">
            <v>441</v>
          </cell>
          <cell r="L241">
            <v>6.5</v>
          </cell>
          <cell r="M241">
            <v>35.200000000000003</v>
          </cell>
          <cell r="N241">
            <v>5.6</v>
          </cell>
          <cell r="O241">
            <v>0.6</v>
          </cell>
          <cell r="P241">
            <v>2.6</v>
          </cell>
          <cell r="R241">
            <v>141</v>
          </cell>
          <cell r="S241">
            <v>0</v>
          </cell>
          <cell r="T241">
            <v>6.55</v>
          </cell>
          <cell r="U241">
            <v>2.8</v>
          </cell>
          <cell r="W241">
            <v>2.56</v>
          </cell>
          <cell r="X241">
            <v>221</v>
          </cell>
          <cell r="Y241">
            <v>0</v>
          </cell>
        </row>
        <row r="242">
          <cell r="B242" t="str">
            <v>Silo 6</v>
          </cell>
          <cell r="C242">
            <v>80945</v>
          </cell>
          <cell r="D242">
            <v>2011</v>
          </cell>
          <cell r="S242">
            <v>0</v>
          </cell>
          <cell r="V242">
            <v>7</v>
          </cell>
          <cell r="W242">
            <v>0</v>
          </cell>
          <cell r="Y242">
            <v>0</v>
          </cell>
        </row>
        <row r="243">
          <cell r="B243" t="str">
            <v>Silo 6</v>
          </cell>
          <cell r="C243">
            <v>80945</v>
          </cell>
          <cell r="D243">
            <v>2011</v>
          </cell>
          <cell r="E243">
            <v>38.4</v>
          </cell>
          <cell r="F243">
            <v>83</v>
          </cell>
          <cell r="G243">
            <v>194</v>
          </cell>
          <cell r="H243">
            <v>42</v>
          </cell>
          <cell r="I243">
            <v>43</v>
          </cell>
          <cell r="J243">
            <v>188</v>
          </cell>
          <cell r="K243">
            <v>424</v>
          </cell>
          <cell r="L243">
            <v>3.4</v>
          </cell>
          <cell r="M243">
            <v>8.1</v>
          </cell>
          <cell r="N243">
            <v>4.5</v>
          </cell>
          <cell r="O243">
            <v>0.3</v>
          </cell>
          <cell r="P243">
            <v>1.8</v>
          </cell>
          <cell r="R243">
            <v>143</v>
          </cell>
          <cell r="S243">
            <v>0</v>
          </cell>
          <cell r="T243">
            <v>7.32</v>
          </cell>
          <cell r="U243">
            <v>1.98</v>
          </cell>
          <cell r="W243">
            <v>-9.6</v>
          </cell>
          <cell r="X243">
            <v>408</v>
          </cell>
          <cell r="Y243">
            <v>0</v>
          </cell>
        </row>
        <row r="244">
          <cell r="B244" t="str">
            <v xml:space="preserve"> Treber</v>
          </cell>
          <cell r="C244">
            <v>80948</v>
          </cell>
          <cell r="D244">
            <v>2013</v>
          </cell>
          <cell r="E244">
            <v>24.8</v>
          </cell>
          <cell r="F244">
            <v>237</v>
          </cell>
          <cell r="G244">
            <v>286</v>
          </cell>
          <cell r="H244">
            <v>79</v>
          </cell>
          <cell r="I244">
            <v>43</v>
          </cell>
          <cell r="J244">
            <v>317</v>
          </cell>
          <cell r="K244">
            <v>703</v>
          </cell>
          <cell r="L244">
            <v>8.1999999999999993</v>
          </cell>
          <cell r="M244">
            <v>1.7</v>
          </cell>
          <cell r="N244">
            <v>3.8</v>
          </cell>
          <cell r="O244">
            <v>0.2</v>
          </cell>
          <cell r="P244">
            <v>2.6</v>
          </cell>
          <cell r="R244">
            <v>200</v>
          </cell>
          <cell r="S244">
            <v>0</v>
          </cell>
          <cell r="T244">
            <v>6.6</v>
          </cell>
          <cell r="W244">
            <v>5.92</v>
          </cell>
          <cell r="X244">
            <v>-62</v>
          </cell>
          <cell r="Y244">
            <v>0</v>
          </cell>
        </row>
        <row r="245">
          <cell r="B245" t="str">
            <v>Silo 1</v>
          </cell>
          <cell r="C245">
            <v>80949</v>
          </cell>
          <cell r="D245">
            <v>2012</v>
          </cell>
          <cell r="E245">
            <v>36</v>
          </cell>
          <cell r="F245">
            <v>161</v>
          </cell>
          <cell r="G245">
            <v>316</v>
          </cell>
          <cell r="H245">
            <v>35</v>
          </cell>
          <cell r="I245">
            <v>150</v>
          </cell>
          <cell r="J245">
            <v>256</v>
          </cell>
          <cell r="K245">
            <v>419</v>
          </cell>
          <cell r="L245">
            <v>6.5</v>
          </cell>
          <cell r="M245">
            <v>39.4</v>
          </cell>
          <cell r="N245">
            <v>4.5</v>
          </cell>
          <cell r="O245">
            <v>0.5</v>
          </cell>
          <cell r="P245">
            <v>1.9</v>
          </cell>
          <cell r="R245">
            <v>144</v>
          </cell>
          <cell r="S245">
            <v>0</v>
          </cell>
          <cell r="T245">
            <v>6.67</v>
          </cell>
          <cell r="U245">
            <v>2.66</v>
          </cell>
          <cell r="W245">
            <v>2.72</v>
          </cell>
          <cell r="X245">
            <v>235</v>
          </cell>
          <cell r="Y245">
            <v>0</v>
          </cell>
        </row>
        <row r="246">
          <cell r="B246" t="str">
            <v>Silo 6</v>
          </cell>
          <cell r="C246">
            <v>80950</v>
          </cell>
          <cell r="D246">
            <v>2011</v>
          </cell>
          <cell r="E246">
            <v>38.9</v>
          </cell>
          <cell r="F246">
            <v>80</v>
          </cell>
          <cell r="G246">
            <v>212</v>
          </cell>
          <cell r="H246">
            <v>36</v>
          </cell>
          <cell r="I246">
            <v>38</v>
          </cell>
          <cell r="J246">
            <v>200</v>
          </cell>
          <cell r="K246">
            <v>420</v>
          </cell>
          <cell r="L246">
            <v>3.5</v>
          </cell>
          <cell r="M246">
            <v>8.4</v>
          </cell>
          <cell r="N246">
            <v>2</v>
          </cell>
          <cell r="O246">
            <v>0.1</v>
          </cell>
          <cell r="P246">
            <v>1.3</v>
          </cell>
          <cell r="R246">
            <v>140</v>
          </cell>
          <cell r="S246">
            <v>0</v>
          </cell>
          <cell r="T246">
            <v>7.12</v>
          </cell>
          <cell r="U246">
            <v>1.95</v>
          </cell>
          <cell r="W246">
            <v>-9.6</v>
          </cell>
          <cell r="X246">
            <v>426</v>
          </cell>
          <cell r="Y246">
            <v>0</v>
          </cell>
        </row>
        <row r="247">
          <cell r="B247" t="str">
            <v>Pressschnitzel</v>
          </cell>
          <cell r="C247">
            <v>80951</v>
          </cell>
          <cell r="D247">
            <v>2012</v>
          </cell>
          <cell r="E247">
            <v>30.3</v>
          </cell>
          <cell r="F247">
            <v>89</v>
          </cell>
          <cell r="G247">
            <v>241</v>
          </cell>
          <cell r="H247">
            <v>5.8</v>
          </cell>
          <cell r="I247">
            <v>111</v>
          </cell>
          <cell r="J247">
            <v>207</v>
          </cell>
          <cell r="K247">
            <v>497</v>
          </cell>
          <cell r="L247">
            <v>1.6</v>
          </cell>
          <cell r="M247">
            <v>2.9</v>
          </cell>
          <cell r="N247">
            <v>8.9</v>
          </cell>
          <cell r="O247">
            <v>0.6</v>
          </cell>
          <cell r="P247">
            <v>2.4</v>
          </cell>
          <cell r="R247">
            <v>139</v>
          </cell>
          <cell r="S247">
            <v>0</v>
          </cell>
          <cell r="T247">
            <v>7</v>
          </cell>
          <cell r="W247">
            <v>-8</v>
          </cell>
          <cell r="X247">
            <v>297.2</v>
          </cell>
          <cell r="Y247">
            <v>0</v>
          </cell>
        </row>
        <row r="248">
          <cell r="B248" t="str">
            <v>Treber</v>
          </cell>
          <cell r="C248">
            <v>80952</v>
          </cell>
          <cell r="D248">
            <v>2013</v>
          </cell>
          <cell r="E248">
            <v>21.6</v>
          </cell>
          <cell r="F248">
            <v>218</v>
          </cell>
          <cell r="G248">
            <v>283</v>
          </cell>
          <cell r="H248">
            <v>66</v>
          </cell>
          <cell r="I248">
            <v>43</v>
          </cell>
          <cell r="J248">
            <v>305</v>
          </cell>
          <cell r="K248">
            <v>630</v>
          </cell>
          <cell r="L248">
            <v>8.1999999999999993</v>
          </cell>
          <cell r="M248">
            <v>1.3</v>
          </cell>
          <cell r="N248">
            <v>3.7</v>
          </cell>
          <cell r="O248">
            <v>0.1</v>
          </cell>
          <cell r="P248">
            <v>2.7</v>
          </cell>
          <cell r="R248">
            <v>190</v>
          </cell>
          <cell r="S248">
            <v>0</v>
          </cell>
          <cell r="T248">
            <v>6.46</v>
          </cell>
          <cell r="W248">
            <v>4.4800000000000004</v>
          </cell>
          <cell r="X248">
            <v>43</v>
          </cell>
          <cell r="Y248">
            <v>0</v>
          </cell>
        </row>
        <row r="249">
          <cell r="B249" t="str">
            <v>WG 46,5/46,5</v>
          </cell>
          <cell r="C249">
            <v>80953</v>
          </cell>
          <cell r="D249">
            <v>2013</v>
          </cell>
          <cell r="E249">
            <v>88.8</v>
          </cell>
          <cell r="F249">
            <v>272</v>
          </cell>
          <cell r="G249">
            <v>139</v>
          </cell>
          <cell r="H249">
            <v>20</v>
          </cell>
          <cell r="I249">
            <v>69</v>
          </cell>
          <cell r="J249">
            <v>145</v>
          </cell>
          <cell r="K249">
            <v>329</v>
          </cell>
          <cell r="L249">
            <v>27</v>
          </cell>
          <cell r="M249">
            <v>9</v>
          </cell>
          <cell r="N249">
            <v>8.4</v>
          </cell>
          <cell r="O249">
            <v>3</v>
          </cell>
          <cell r="P249">
            <v>3.8</v>
          </cell>
          <cell r="R249">
            <v>196</v>
          </cell>
          <cell r="S249">
            <v>0</v>
          </cell>
          <cell r="T249">
            <v>7.49</v>
          </cell>
          <cell r="W249">
            <v>12.16</v>
          </cell>
          <cell r="X249">
            <v>310</v>
          </cell>
          <cell r="Y249">
            <v>0</v>
          </cell>
        </row>
        <row r="250">
          <cell r="B250" t="str">
            <v>GB 40/54,5/4/1,5</v>
          </cell>
          <cell r="C250">
            <v>80954</v>
          </cell>
          <cell r="D250">
            <v>2013</v>
          </cell>
          <cell r="E250">
            <v>89</v>
          </cell>
          <cell r="F250">
            <v>258</v>
          </cell>
          <cell r="G250">
            <v>165</v>
          </cell>
          <cell r="H250">
            <v>18</v>
          </cell>
          <cell r="I250">
            <v>86</v>
          </cell>
          <cell r="J250">
            <v>143</v>
          </cell>
          <cell r="K250">
            <v>336</v>
          </cell>
          <cell r="L250">
            <v>22</v>
          </cell>
          <cell r="M250">
            <v>10</v>
          </cell>
          <cell r="N250">
            <v>11</v>
          </cell>
          <cell r="O250">
            <v>9.1999999999999993</v>
          </cell>
          <cell r="P250">
            <v>4.9000000000000004</v>
          </cell>
          <cell r="R250">
            <v>182</v>
          </cell>
          <cell r="S250">
            <v>0</v>
          </cell>
          <cell r="T250">
            <v>7.23</v>
          </cell>
          <cell r="W250">
            <v>12.16</v>
          </cell>
          <cell r="X250">
            <v>302</v>
          </cell>
          <cell r="Y250">
            <v>0</v>
          </cell>
        </row>
        <row r="251">
          <cell r="B251" t="str">
            <v>Ackerbohnen</v>
          </cell>
          <cell r="C251">
            <v>80955</v>
          </cell>
          <cell r="D251">
            <v>2012</v>
          </cell>
          <cell r="E251">
            <v>88.5</v>
          </cell>
          <cell r="F251">
            <v>277</v>
          </cell>
          <cell r="G251">
            <v>179</v>
          </cell>
          <cell r="H251">
            <v>13</v>
          </cell>
          <cell r="I251">
            <v>44</v>
          </cell>
          <cell r="J251">
            <v>183</v>
          </cell>
          <cell r="K251">
            <v>344</v>
          </cell>
          <cell r="L251">
            <v>15.8</v>
          </cell>
          <cell r="M251">
            <v>12.1</v>
          </cell>
          <cell r="N251">
            <v>1.9</v>
          </cell>
          <cell r="O251">
            <v>0.5</v>
          </cell>
          <cell r="P251">
            <v>1.4</v>
          </cell>
          <cell r="R251">
            <v>189</v>
          </cell>
          <cell r="S251">
            <v>0</v>
          </cell>
          <cell r="T251">
            <v>8.4700000000000006</v>
          </cell>
          <cell r="W251">
            <v>14.08</v>
          </cell>
          <cell r="X251">
            <v>322</v>
          </cell>
          <cell r="Y251">
            <v>0</v>
          </cell>
        </row>
        <row r="252">
          <cell r="B252" t="str">
            <v>RES</v>
          </cell>
          <cell r="C252">
            <v>80956</v>
          </cell>
          <cell r="D252">
            <v>2013</v>
          </cell>
          <cell r="E252">
            <v>88.9</v>
          </cell>
          <cell r="F252">
            <v>377</v>
          </cell>
          <cell r="G252">
            <v>179</v>
          </cell>
          <cell r="H252">
            <v>20</v>
          </cell>
          <cell r="I252">
            <v>73</v>
          </cell>
          <cell r="J252">
            <v>245</v>
          </cell>
          <cell r="K252">
            <v>362</v>
          </cell>
          <cell r="L252">
            <v>18.2</v>
          </cell>
          <cell r="M252">
            <v>12.6</v>
          </cell>
          <cell r="N252">
            <v>7.4</v>
          </cell>
          <cell r="O252">
            <v>0.9</v>
          </cell>
          <cell r="P252">
            <v>3.9</v>
          </cell>
          <cell r="R252">
            <v>250</v>
          </cell>
          <cell r="S252">
            <v>0</v>
          </cell>
          <cell r="T252">
            <v>7.29</v>
          </cell>
          <cell r="W252">
            <v>20.32</v>
          </cell>
          <cell r="X252">
            <v>168</v>
          </cell>
          <cell r="Y252">
            <v>0</v>
          </cell>
        </row>
        <row r="253">
          <cell r="B253" t="str">
            <v>Heu, 2. S.</v>
          </cell>
          <cell r="C253">
            <v>80957</v>
          </cell>
          <cell r="D253">
            <v>2012</v>
          </cell>
          <cell r="E253">
            <v>90.6</v>
          </cell>
          <cell r="F253">
            <v>139</v>
          </cell>
          <cell r="G253">
            <v>345</v>
          </cell>
          <cell r="H253">
            <v>28</v>
          </cell>
          <cell r="I253">
            <v>78</v>
          </cell>
          <cell r="J253">
            <v>330</v>
          </cell>
          <cell r="K253">
            <v>552</v>
          </cell>
          <cell r="L253">
            <v>8.1999999999999993</v>
          </cell>
          <cell r="M253">
            <v>15.6</v>
          </cell>
          <cell r="N253">
            <v>5.2</v>
          </cell>
          <cell r="O253">
            <v>3.3</v>
          </cell>
          <cell r="P253">
            <v>2.6</v>
          </cell>
          <cell r="R253">
            <v>136</v>
          </cell>
          <cell r="S253">
            <v>0</v>
          </cell>
          <cell r="T253">
            <v>5.8</v>
          </cell>
          <cell r="U253">
            <v>3.46</v>
          </cell>
          <cell r="W253">
            <v>0.48</v>
          </cell>
          <cell r="X253">
            <v>203</v>
          </cell>
          <cell r="Y253">
            <v>0</v>
          </cell>
        </row>
        <row r="254">
          <cell r="B254" t="str">
            <v>Stroh, Gerste</v>
          </cell>
          <cell r="C254">
            <v>80958</v>
          </cell>
          <cell r="D254">
            <v>2012</v>
          </cell>
          <cell r="E254">
            <v>91.2</v>
          </cell>
          <cell r="F254">
            <v>29</v>
          </cell>
          <cell r="G254">
            <v>514</v>
          </cell>
          <cell r="H254">
            <v>13</v>
          </cell>
          <cell r="I254">
            <v>65</v>
          </cell>
          <cell r="J254">
            <v>517</v>
          </cell>
          <cell r="K254">
            <v>822</v>
          </cell>
          <cell r="L254">
            <v>2.2999999999999998</v>
          </cell>
          <cell r="M254">
            <v>15.6</v>
          </cell>
          <cell r="N254">
            <v>3.1</v>
          </cell>
          <cell r="O254">
            <v>0.1</v>
          </cell>
          <cell r="P254">
            <v>0.5</v>
          </cell>
          <cell r="R254">
            <v>73</v>
          </cell>
          <cell r="S254">
            <v>0</v>
          </cell>
          <cell r="T254">
            <v>3.71</v>
          </cell>
          <cell r="U254">
            <v>4.3</v>
          </cell>
          <cell r="W254">
            <v>-7.04</v>
          </cell>
          <cell r="X254">
            <v>71</v>
          </cell>
          <cell r="Y254">
            <v>0</v>
          </cell>
        </row>
        <row r="255">
          <cell r="B255" t="str">
            <v>Silo 1</v>
          </cell>
          <cell r="C255">
            <v>80964</v>
          </cell>
          <cell r="D255">
            <v>2012</v>
          </cell>
          <cell r="E255">
            <v>40.799999999999997</v>
          </cell>
          <cell r="F255">
            <v>157</v>
          </cell>
          <cell r="G255">
            <v>331</v>
          </cell>
          <cell r="H255">
            <v>42</v>
          </cell>
          <cell r="I255">
            <v>147</v>
          </cell>
          <cell r="J255">
            <v>321</v>
          </cell>
          <cell r="K255">
            <v>479</v>
          </cell>
          <cell r="L255">
            <v>5.8</v>
          </cell>
          <cell r="M255">
            <v>35.200000000000003</v>
          </cell>
          <cell r="N255">
            <v>6.4</v>
          </cell>
          <cell r="O255">
            <v>1.2</v>
          </cell>
          <cell r="P255">
            <v>2.2000000000000002</v>
          </cell>
          <cell r="R255">
            <v>132</v>
          </cell>
          <cell r="S255">
            <v>0</v>
          </cell>
          <cell r="T255">
            <v>5.91</v>
          </cell>
          <cell r="U255">
            <v>3.02</v>
          </cell>
          <cell r="V255">
            <v>55</v>
          </cell>
          <cell r="W255">
            <v>4</v>
          </cell>
          <cell r="X255">
            <v>175</v>
          </cell>
          <cell r="Y255">
            <v>0</v>
          </cell>
        </row>
        <row r="256">
          <cell r="B256" t="str">
            <v>Silo 6</v>
          </cell>
          <cell r="C256">
            <v>80965</v>
          </cell>
          <cell r="D256">
            <v>2011</v>
          </cell>
          <cell r="E256">
            <v>36.700000000000003</v>
          </cell>
          <cell r="F256">
            <v>78</v>
          </cell>
          <cell r="G256">
            <v>225</v>
          </cell>
          <cell r="H256">
            <v>41</v>
          </cell>
          <cell r="I256">
            <v>36</v>
          </cell>
          <cell r="J256">
            <v>216</v>
          </cell>
          <cell r="K256">
            <v>394</v>
          </cell>
          <cell r="L256">
            <v>3</v>
          </cell>
          <cell r="M256">
            <v>11.3</v>
          </cell>
          <cell r="N256">
            <v>2.1</v>
          </cell>
          <cell r="O256">
            <v>0.2</v>
          </cell>
          <cell r="P256">
            <v>1.1000000000000001</v>
          </cell>
          <cell r="R256">
            <v>140</v>
          </cell>
          <cell r="S256">
            <v>0</v>
          </cell>
          <cell r="T256">
            <v>7.17</v>
          </cell>
          <cell r="U256">
            <v>1.79</v>
          </cell>
          <cell r="V256">
            <v>5</v>
          </cell>
          <cell r="W256">
            <v>-9.92</v>
          </cell>
          <cell r="X256">
            <v>451</v>
          </cell>
          <cell r="Y256">
            <v>0</v>
          </cell>
        </row>
        <row r="257">
          <cell r="B257" t="str">
            <v>Pressschnitzel</v>
          </cell>
          <cell r="C257">
            <v>80966</v>
          </cell>
          <cell r="D257">
            <v>2012</v>
          </cell>
          <cell r="E257">
            <v>30.8</v>
          </cell>
          <cell r="F257">
            <v>95</v>
          </cell>
          <cell r="G257">
            <v>247</v>
          </cell>
          <cell r="H257">
            <v>6</v>
          </cell>
          <cell r="I257">
            <v>101</v>
          </cell>
          <cell r="J257">
            <v>241</v>
          </cell>
          <cell r="K257">
            <v>516</v>
          </cell>
          <cell r="L257">
            <v>1.4</v>
          </cell>
          <cell r="M257">
            <v>5.4</v>
          </cell>
          <cell r="N257">
            <v>10</v>
          </cell>
          <cell r="O257">
            <v>0.3</v>
          </cell>
          <cell r="P257">
            <v>2.1</v>
          </cell>
          <cell r="R257">
            <v>142</v>
          </cell>
          <cell r="S257">
            <v>0</v>
          </cell>
          <cell r="T257">
            <v>7.09</v>
          </cell>
          <cell r="U257">
            <v>1.1000000000000001</v>
          </cell>
          <cell r="V257">
            <v>22</v>
          </cell>
          <cell r="W257">
            <v>-7.52</v>
          </cell>
          <cell r="X257">
            <v>282</v>
          </cell>
          <cell r="Y257">
            <v>0</v>
          </cell>
        </row>
        <row r="258">
          <cell r="B258" t="str">
            <v>Treber</v>
          </cell>
          <cell r="C258">
            <v>80967</v>
          </cell>
          <cell r="D258">
            <v>2013</v>
          </cell>
          <cell r="E258">
            <v>21</v>
          </cell>
          <cell r="F258">
            <v>229</v>
          </cell>
          <cell r="G258">
            <v>246</v>
          </cell>
          <cell r="H258">
            <v>87</v>
          </cell>
          <cell r="I258">
            <v>46</v>
          </cell>
          <cell r="J258">
            <v>341</v>
          </cell>
          <cell r="K258">
            <v>638</v>
          </cell>
          <cell r="L258">
            <v>7.7</v>
          </cell>
          <cell r="M258">
            <v>3.9</v>
          </cell>
          <cell r="N258">
            <v>3.9</v>
          </cell>
          <cell r="O258">
            <v>0.1</v>
          </cell>
          <cell r="P258">
            <v>1.9</v>
          </cell>
          <cell r="R258">
            <v>198</v>
          </cell>
          <cell r="S258">
            <v>0</v>
          </cell>
          <cell r="T258">
            <v>6.67</v>
          </cell>
          <cell r="V258">
            <v>34</v>
          </cell>
          <cell r="W258">
            <v>4.96</v>
          </cell>
          <cell r="X258">
            <v>0</v>
          </cell>
          <cell r="Y258">
            <v>0</v>
          </cell>
        </row>
        <row r="259">
          <cell r="B259" t="str">
            <v>WG 50/44,5/4/1,5</v>
          </cell>
          <cell r="C259">
            <v>80968</v>
          </cell>
          <cell r="D259">
            <v>2013</v>
          </cell>
          <cell r="E259">
            <v>89.1</v>
          </cell>
          <cell r="F259">
            <v>277</v>
          </cell>
          <cell r="G259">
            <v>156</v>
          </cell>
          <cell r="H259">
            <v>21</v>
          </cell>
          <cell r="I259">
            <v>75</v>
          </cell>
          <cell r="J259">
            <v>174</v>
          </cell>
          <cell r="K259">
            <v>334</v>
          </cell>
          <cell r="L259">
            <v>12.1</v>
          </cell>
          <cell r="M259">
            <v>12.8</v>
          </cell>
          <cell r="N259">
            <v>8.3000000000000007</v>
          </cell>
          <cell r="O259">
            <v>3.1</v>
          </cell>
          <cell r="P259">
            <v>3.7</v>
          </cell>
          <cell r="R259">
            <v>196</v>
          </cell>
          <cell r="S259">
            <v>0</v>
          </cell>
          <cell r="T259">
            <v>7.41</v>
          </cell>
          <cell r="W259">
            <v>12.96</v>
          </cell>
          <cell r="X259">
            <v>293</v>
          </cell>
          <cell r="Y259">
            <v>0</v>
          </cell>
        </row>
        <row r="260">
          <cell r="B260" t="str">
            <v>Ackerbohnen</v>
          </cell>
          <cell r="C260">
            <v>80970</v>
          </cell>
          <cell r="D260">
            <v>2012</v>
          </cell>
          <cell r="E260">
            <v>88.3</v>
          </cell>
          <cell r="F260">
            <v>274</v>
          </cell>
          <cell r="G260">
            <v>184</v>
          </cell>
          <cell r="H260">
            <v>14</v>
          </cell>
          <cell r="I260">
            <v>42</v>
          </cell>
          <cell r="J260">
            <v>213</v>
          </cell>
          <cell r="K260">
            <v>378</v>
          </cell>
          <cell r="L260">
            <v>8.3000000000000007</v>
          </cell>
          <cell r="M260">
            <v>15.9</v>
          </cell>
          <cell r="N260">
            <v>1.6</v>
          </cell>
          <cell r="O260">
            <v>0.3</v>
          </cell>
          <cell r="P260">
            <v>1.4</v>
          </cell>
          <cell r="R260">
            <v>189</v>
          </cell>
          <cell r="S260">
            <v>0</v>
          </cell>
          <cell r="T260">
            <v>8.49</v>
          </cell>
          <cell r="W260">
            <v>13.6</v>
          </cell>
          <cell r="X260">
            <v>292</v>
          </cell>
          <cell r="Y260">
            <v>0</v>
          </cell>
        </row>
        <row r="261">
          <cell r="B261" t="str">
            <v>RES</v>
          </cell>
          <cell r="C261">
            <v>80971</v>
          </cell>
          <cell r="D261">
            <v>2013</v>
          </cell>
          <cell r="E261">
            <v>89.2</v>
          </cell>
          <cell r="F261">
            <v>385</v>
          </cell>
          <cell r="G261">
            <v>164</v>
          </cell>
          <cell r="H261">
            <v>22</v>
          </cell>
          <cell r="I261">
            <v>79</v>
          </cell>
          <cell r="J261">
            <v>249</v>
          </cell>
          <cell r="K261">
            <v>358</v>
          </cell>
          <cell r="L261">
            <v>16.5</v>
          </cell>
          <cell r="M261">
            <v>16.399999999999999</v>
          </cell>
          <cell r="N261">
            <v>7.6</v>
          </cell>
          <cell r="O261">
            <v>1.1000000000000001</v>
          </cell>
          <cell r="P261">
            <v>4</v>
          </cell>
          <cell r="R261">
            <v>252</v>
          </cell>
          <cell r="S261">
            <v>0</v>
          </cell>
          <cell r="T261">
            <v>7.27</v>
          </cell>
          <cell r="W261">
            <v>21.28</v>
          </cell>
          <cell r="X261">
            <v>156</v>
          </cell>
          <cell r="Y261">
            <v>0</v>
          </cell>
        </row>
        <row r="262">
          <cell r="B262" t="str">
            <v>Heu, 2. S.</v>
          </cell>
          <cell r="C262">
            <v>80972</v>
          </cell>
          <cell r="D262">
            <v>2012</v>
          </cell>
          <cell r="E262">
            <v>91.1</v>
          </cell>
          <cell r="F262">
            <v>117</v>
          </cell>
          <cell r="G262">
            <v>355</v>
          </cell>
          <cell r="H262">
            <v>24</v>
          </cell>
          <cell r="I262">
            <v>92</v>
          </cell>
          <cell r="J262">
            <v>363</v>
          </cell>
          <cell r="K262">
            <v>559</v>
          </cell>
          <cell r="L262">
            <v>4.9000000000000004</v>
          </cell>
          <cell r="M262">
            <v>27.9</v>
          </cell>
          <cell r="N262">
            <v>4.5999999999999996</v>
          </cell>
          <cell r="O262">
            <v>1.2</v>
          </cell>
          <cell r="P262">
            <v>1.8</v>
          </cell>
          <cell r="R262">
            <v>124</v>
          </cell>
          <cell r="S262">
            <v>0</v>
          </cell>
          <cell r="T262">
            <v>5.36</v>
          </cell>
          <cell r="U262">
            <v>3.51</v>
          </cell>
          <cell r="W262">
            <v>-1.1200000000000001</v>
          </cell>
          <cell r="X262">
            <v>208</v>
          </cell>
          <cell r="Y262">
            <v>0</v>
          </cell>
        </row>
        <row r="263">
          <cell r="B263" t="str">
            <v>Stroh, Gerste</v>
          </cell>
          <cell r="C263">
            <v>80973</v>
          </cell>
          <cell r="D263">
            <v>2012</v>
          </cell>
          <cell r="E263">
            <v>90.9</v>
          </cell>
          <cell r="F263">
            <v>24</v>
          </cell>
          <cell r="G263">
            <v>523</v>
          </cell>
          <cell r="H263">
            <v>13</v>
          </cell>
          <cell r="I263">
            <v>67</v>
          </cell>
          <cell r="J263">
            <v>522</v>
          </cell>
          <cell r="K263">
            <v>816</v>
          </cell>
          <cell r="L263">
            <v>1</v>
          </cell>
          <cell r="M263">
            <v>18</v>
          </cell>
          <cell r="N263">
            <v>3.3</v>
          </cell>
          <cell r="O263">
            <v>0.3</v>
          </cell>
          <cell r="P263">
            <v>0.6</v>
          </cell>
          <cell r="R263">
            <v>71</v>
          </cell>
          <cell r="S263">
            <v>0</v>
          </cell>
          <cell r="T263">
            <v>3.69</v>
          </cell>
          <cell r="W263">
            <v>-7.52</v>
          </cell>
          <cell r="X263">
            <v>80</v>
          </cell>
          <cell r="Y263">
            <v>0</v>
          </cell>
        </row>
        <row r="264">
          <cell r="B264" t="str">
            <v>Silo 1</v>
          </cell>
          <cell r="C264">
            <v>80978</v>
          </cell>
          <cell r="D264">
            <v>2012</v>
          </cell>
          <cell r="E264">
            <v>43.1</v>
          </cell>
          <cell r="F264">
            <v>156</v>
          </cell>
          <cell r="G264">
            <v>317</v>
          </cell>
          <cell r="H264">
            <v>38</v>
          </cell>
          <cell r="I264">
            <v>138</v>
          </cell>
          <cell r="J264">
            <v>322</v>
          </cell>
          <cell r="K264">
            <v>461</v>
          </cell>
          <cell r="L264">
            <v>6.1</v>
          </cell>
          <cell r="M264">
            <v>42.3</v>
          </cell>
          <cell r="N264">
            <v>4.7</v>
          </cell>
          <cell r="O264">
            <v>0.6</v>
          </cell>
          <cell r="P264">
            <v>2.1</v>
          </cell>
          <cell r="R264">
            <v>131</v>
          </cell>
          <cell r="S264">
            <v>0</v>
          </cell>
          <cell r="T264">
            <v>5.88</v>
          </cell>
          <cell r="U264">
            <v>2.91</v>
          </cell>
          <cell r="V264">
            <v>54</v>
          </cell>
          <cell r="W264">
            <v>4</v>
          </cell>
          <cell r="X264">
            <v>207</v>
          </cell>
          <cell r="Y264">
            <v>0</v>
          </cell>
        </row>
        <row r="265">
          <cell r="B265" t="str">
            <v>Silo 6</v>
          </cell>
          <cell r="C265">
            <v>80979</v>
          </cell>
          <cell r="D265">
            <v>2011</v>
          </cell>
          <cell r="E265">
            <v>37.799999999999997</v>
          </cell>
          <cell r="F265">
            <v>81</v>
          </cell>
          <cell r="G265">
            <v>186</v>
          </cell>
          <cell r="H265">
            <v>39</v>
          </cell>
          <cell r="I265">
            <v>41</v>
          </cell>
          <cell r="J265">
            <v>210</v>
          </cell>
          <cell r="K265">
            <v>450</v>
          </cell>
          <cell r="L265">
            <v>3.4</v>
          </cell>
          <cell r="M265">
            <v>12.4</v>
          </cell>
          <cell r="N265">
            <v>1.9</v>
          </cell>
          <cell r="O265">
            <v>0.1</v>
          </cell>
          <cell r="P265">
            <v>1.1000000000000001</v>
          </cell>
          <cell r="R265">
            <v>140</v>
          </cell>
          <cell r="S265">
            <v>0</v>
          </cell>
          <cell r="T265">
            <v>7.13</v>
          </cell>
          <cell r="U265">
            <v>2.13</v>
          </cell>
          <cell r="V265">
            <v>10</v>
          </cell>
          <cell r="W265">
            <v>-9.44</v>
          </cell>
          <cell r="X265">
            <v>389</v>
          </cell>
          <cell r="Y265">
            <v>0</v>
          </cell>
        </row>
        <row r="266">
          <cell r="B266" t="str">
            <v>Pressschnitzel</v>
          </cell>
          <cell r="C266">
            <v>80980</v>
          </cell>
          <cell r="D266">
            <v>2012</v>
          </cell>
          <cell r="E266">
            <v>32.1</v>
          </cell>
          <cell r="F266">
            <v>81</v>
          </cell>
          <cell r="G266">
            <v>238</v>
          </cell>
          <cell r="H266">
            <v>4.9000000000000004</v>
          </cell>
          <cell r="I266">
            <v>103</v>
          </cell>
          <cell r="J266">
            <v>234</v>
          </cell>
          <cell r="K266">
            <v>519</v>
          </cell>
          <cell r="L266">
            <v>1.1000000000000001</v>
          </cell>
          <cell r="M266">
            <v>3.2</v>
          </cell>
          <cell r="N266">
            <v>10.3</v>
          </cell>
          <cell r="O266">
            <v>0.3</v>
          </cell>
          <cell r="P266">
            <v>2.1</v>
          </cell>
          <cell r="R266">
            <v>137</v>
          </cell>
          <cell r="S266">
            <v>0</v>
          </cell>
          <cell r="T266">
            <v>7.06</v>
          </cell>
          <cell r="V266">
            <v>37</v>
          </cell>
          <cell r="W266">
            <v>-8.9600000000000009</v>
          </cell>
          <cell r="X266">
            <v>292.10000000000002</v>
          </cell>
          <cell r="Y266">
            <v>0</v>
          </cell>
        </row>
        <row r="267">
          <cell r="B267" t="str">
            <v xml:space="preserve"> Treber</v>
          </cell>
          <cell r="C267">
            <v>80981</v>
          </cell>
          <cell r="D267">
            <v>2013</v>
          </cell>
          <cell r="E267">
            <v>23.4</v>
          </cell>
          <cell r="F267">
            <v>227</v>
          </cell>
          <cell r="G267">
            <v>282</v>
          </cell>
          <cell r="H267">
            <v>89</v>
          </cell>
          <cell r="I267">
            <v>48</v>
          </cell>
          <cell r="J267">
            <v>351</v>
          </cell>
          <cell r="K267">
            <v>649</v>
          </cell>
          <cell r="L267">
            <v>7.5</v>
          </cell>
          <cell r="M267">
            <v>1.8</v>
          </cell>
          <cell r="N267">
            <v>4.3</v>
          </cell>
          <cell r="O267">
            <v>0.1</v>
          </cell>
          <cell r="P267">
            <v>1.8</v>
          </cell>
          <cell r="R267">
            <v>197</v>
          </cell>
          <cell r="S267">
            <v>0</v>
          </cell>
          <cell r="T267">
            <v>6.66</v>
          </cell>
          <cell r="V267">
            <v>7</v>
          </cell>
          <cell r="W267">
            <v>4.8</v>
          </cell>
          <cell r="X267">
            <v>-13</v>
          </cell>
          <cell r="Y267">
            <v>0</v>
          </cell>
        </row>
        <row r="268">
          <cell r="B268" t="str">
            <v>WG 50/44,5/4/1,5</v>
          </cell>
          <cell r="C268">
            <v>80982</v>
          </cell>
          <cell r="D268">
            <v>2013</v>
          </cell>
          <cell r="E268">
            <v>89</v>
          </cell>
          <cell r="F268">
            <v>162</v>
          </cell>
          <cell r="G268">
            <v>208</v>
          </cell>
          <cell r="H268">
            <v>18</v>
          </cell>
          <cell r="I268">
            <v>85</v>
          </cell>
          <cell r="J268">
            <v>178</v>
          </cell>
          <cell r="K268">
            <v>319</v>
          </cell>
          <cell r="L268">
            <v>9.1</v>
          </cell>
          <cell r="M268">
            <v>6.7</v>
          </cell>
          <cell r="N268">
            <v>12.9</v>
          </cell>
          <cell r="O268">
            <v>7.3</v>
          </cell>
          <cell r="P268">
            <v>3.4</v>
          </cell>
          <cell r="R268">
            <v>167</v>
          </cell>
          <cell r="S268">
            <v>0</v>
          </cell>
          <cell r="T268">
            <v>7.82</v>
          </cell>
          <cell r="W268">
            <v>-0.8</v>
          </cell>
          <cell r="X268">
            <v>416</v>
          </cell>
          <cell r="Y268">
            <v>0</v>
          </cell>
        </row>
        <row r="269">
          <cell r="B269" t="str">
            <v>GB 40/54,5/4/1,5</v>
          </cell>
          <cell r="C269">
            <v>80983</v>
          </cell>
          <cell r="D269">
            <v>2013</v>
          </cell>
          <cell r="E269">
            <v>88.5</v>
          </cell>
          <cell r="F269">
            <v>234</v>
          </cell>
          <cell r="G269">
            <v>205</v>
          </cell>
          <cell r="H269">
            <v>16</v>
          </cell>
          <cell r="I269">
            <v>82</v>
          </cell>
          <cell r="J269">
            <v>165</v>
          </cell>
          <cell r="K269">
            <v>294</v>
          </cell>
          <cell r="L269">
            <v>12.1</v>
          </cell>
          <cell r="M269">
            <v>10.8</v>
          </cell>
          <cell r="N269">
            <v>9.9</v>
          </cell>
          <cell r="O269">
            <v>5</v>
          </cell>
          <cell r="P269">
            <v>2.9</v>
          </cell>
          <cell r="R269">
            <v>181</v>
          </cell>
          <cell r="S269">
            <v>0</v>
          </cell>
          <cell r="T269">
            <v>8.02</v>
          </cell>
          <cell r="W269">
            <v>8.48</v>
          </cell>
          <cell r="X269">
            <v>374</v>
          </cell>
          <cell r="Y269">
            <v>0</v>
          </cell>
        </row>
        <row r="270">
          <cell r="B270" t="str">
            <v>RES</v>
          </cell>
          <cell r="C270">
            <v>80984</v>
          </cell>
          <cell r="D270">
            <v>2013</v>
          </cell>
          <cell r="E270">
            <v>89</v>
          </cell>
          <cell r="F270">
            <v>382</v>
          </cell>
          <cell r="G270">
            <v>159</v>
          </cell>
          <cell r="H270">
            <v>23</v>
          </cell>
          <cell r="I270">
            <v>82</v>
          </cell>
          <cell r="J270">
            <v>250</v>
          </cell>
          <cell r="K270">
            <v>382</v>
          </cell>
          <cell r="L270">
            <v>16.5</v>
          </cell>
          <cell r="M270">
            <v>12.8</v>
          </cell>
          <cell r="N270">
            <v>8.6999999999999993</v>
          </cell>
          <cell r="O270">
            <v>1.2</v>
          </cell>
          <cell r="P270">
            <v>4.2</v>
          </cell>
          <cell r="R270">
            <v>251</v>
          </cell>
          <cell r="S270">
            <v>0</v>
          </cell>
          <cell r="T270">
            <v>7.26</v>
          </cell>
          <cell r="W270">
            <v>20.96</v>
          </cell>
          <cell r="X270">
            <v>131</v>
          </cell>
          <cell r="Y270">
            <v>0</v>
          </cell>
        </row>
        <row r="271">
          <cell r="B271" t="str">
            <v>Heu, 2. S.</v>
          </cell>
          <cell r="C271">
            <v>80985</v>
          </cell>
          <cell r="D271">
            <v>2012</v>
          </cell>
          <cell r="E271">
            <v>89.7</v>
          </cell>
          <cell r="F271">
            <v>117</v>
          </cell>
          <cell r="G271">
            <v>362</v>
          </cell>
          <cell r="H271">
            <v>27</v>
          </cell>
          <cell r="I271">
            <v>85</v>
          </cell>
          <cell r="J271">
            <v>374</v>
          </cell>
          <cell r="K271">
            <v>537</v>
          </cell>
          <cell r="L271">
            <v>4.5</v>
          </cell>
          <cell r="M271">
            <v>19.8</v>
          </cell>
          <cell r="N271">
            <v>5.6</v>
          </cell>
          <cell r="O271">
            <v>1.7</v>
          </cell>
          <cell r="P271">
            <v>2</v>
          </cell>
          <cell r="R271">
            <v>124</v>
          </cell>
          <cell r="S271">
            <v>0</v>
          </cell>
          <cell r="T271">
            <v>5.38</v>
          </cell>
          <cell r="U271">
            <v>3.37</v>
          </cell>
          <cell r="W271">
            <v>-1.1200000000000001</v>
          </cell>
          <cell r="X271">
            <v>234</v>
          </cell>
          <cell r="Y271">
            <v>0</v>
          </cell>
        </row>
        <row r="272">
          <cell r="B272" t="str">
            <v>Stroh, Gerste</v>
          </cell>
          <cell r="C272">
            <v>80986</v>
          </cell>
          <cell r="D272">
            <v>2012</v>
          </cell>
          <cell r="E272">
            <v>90.4</v>
          </cell>
          <cell r="F272">
            <v>32</v>
          </cell>
          <cell r="G272">
            <v>519</v>
          </cell>
          <cell r="H272">
            <v>15</v>
          </cell>
          <cell r="I272">
            <v>66</v>
          </cell>
          <cell r="J272">
            <v>524</v>
          </cell>
          <cell r="K272">
            <v>803</v>
          </cell>
          <cell r="L272">
            <v>2</v>
          </cell>
          <cell r="M272">
            <v>15.2</v>
          </cell>
          <cell r="N272">
            <v>4.0999999999999996</v>
          </cell>
          <cell r="O272">
            <v>0.2</v>
          </cell>
          <cell r="P272">
            <v>0.9</v>
          </cell>
          <cell r="R272">
            <v>75</v>
          </cell>
          <cell r="S272">
            <v>0</v>
          </cell>
          <cell r="T272">
            <v>3.71</v>
          </cell>
          <cell r="W272">
            <v>-6.88</v>
          </cell>
          <cell r="X272">
            <v>84</v>
          </cell>
          <cell r="Y272">
            <v>0</v>
          </cell>
        </row>
        <row r="273">
          <cell r="B273" t="str">
            <v>Ackerbohnen</v>
          </cell>
          <cell r="C273">
            <v>80987</v>
          </cell>
          <cell r="D273">
            <v>2012</v>
          </cell>
          <cell r="E273">
            <v>88.7</v>
          </cell>
          <cell r="F273">
            <v>274</v>
          </cell>
          <cell r="G273">
            <v>222</v>
          </cell>
          <cell r="H273">
            <v>17</v>
          </cell>
          <cell r="I273">
            <v>40</v>
          </cell>
          <cell r="J273">
            <v>234</v>
          </cell>
          <cell r="K273">
            <v>378</v>
          </cell>
          <cell r="L273">
            <v>8.1</v>
          </cell>
          <cell r="M273">
            <v>14.5</v>
          </cell>
          <cell r="N273">
            <v>1.7</v>
          </cell>
          <cell r="O273">
            <v>0.1</v>
          </cell>
          <cell r="P273">
            <v>1.4</v>
          </cell>
          <cell r="R273">
            <v>195</v>
          </cell>
          <cell r="S273">
            <v>0</v>
          </cell>
          <cell r="T273">
            <v>8.83</v>
          </cell>
          <cell r="W273">
            <v>12.64</v>
          </cell>
          <cell r="X273">
            <v>291</v>
          </cell>
          <cell r="Y273">
            <v>0</v>
          </cell>
        </row>
        <row r="274">
          <cell r="B274" t="str">
            <v>Silo 1</v>
          </cell>
          <cell r="C274">
            <v>80992</v>
          </cell>
          <cell r="D274">
            <v>2012</v>
          </cell>
          <cell r="E274">
            <v>43.2</v>
          </cell>
          <cell r="F274">
            <v>155</v>
          </cell>
          <cell r="G274">
            <v>317</v>
          </cell>
          <cell r="H274">
            <v>37</v>
          </cell>
          <cell r="I274">
            <v>134</v>
          </cell>
          <cell r="J274">
            <v>320</v>
          </cell>
          <cell r="K274">
            <v>473</v>
          </cell>
          <cell r="L274">
            <v>6.2</v>
          </cell>
          <cell r="M274">
            <v>37.700000000000003</v>
          </cell>
          <cell r="N274">
            <v>5.6</v>
          </cell>
          <cell r="O274">
            <v>1</v>
          </cell>
          <cell r="P274">
            <v>2</v>
          </cell>
          <cell r="R274">
            <v>134</v>
          </cell>
          <cell r="S274">
            <v>0</v>
          </cell>
          <cell r="T274">
            <v>6.08</v>
          </cell>
          <cell r="U274">
            <v>2.99</v>
          </cell>
          <cell r="V274">
            <v>96</v>
          </cell>
          <cell r="W274">
            <v>3.36</v>
          </cell>
          <cell r="X274">
            <v>201</v>
          </cell>
          <cell r="Y274">
            <v>0</v>
          </cell>
        </row>
        <row r="275">
          <cell r="B275" t="str">
            <v>Silo 6</v>
          </cell>
          <cell r="C275">
            <v>80993</v>
          </cell>
          <cell r="D275">
            <v>2011</v>
          </cell>
          <cell r="E275">
            <v>33</v>
          </cell>
          <cell r="F275">
            <v>55</v>
          </cell>
          <cell r="G275">
            <v>185</v>
          </cell>
          <cell r="H275">
            <v>40</v>
          </cell>
          <cell r="I275">
            <v>29</v>
          </cell>
          <cell r="J275">
            <v>190</v>
          </cell>
          <cell r="K275">
            <v>435</v>
          </cell>
          <cell r="L275">
            <v>1.9</v>
          </cell>
          <cell r="M275">
            <v>5.9</v>
          </cell>
          <cell r="N275">
            <v>1.4</v>
          </cell>
          <cell r="O275">
            <v>0.1</v>
          </cell>
          <cell r="P275">
            <v>5.3</v>
          </cell>
          <cell r="R275">
            <v>136</v>
          </cell>
          <cell r="S275">
            <v>0</v>
          </cell>
          <cell r="T275">
            <v>7.3</v>
          </cell>
          <cell r="U275">
            <v>2.04</v>
          </cell>
          <cell r="V275">
            <v>2</v>
          </cell>
          <cell r="W275">
            <v>-12.96</v>
          </cell>
          <cell r="X275">
            <v>441</v>
          </cell>
          <cell r="Y275">
            <v>0</v>
          </cell>
        </row>
        <row r="276">
          <cell r="B276" t="str">
            <v>Pressschnitzel</v>
          </cell>
          <cell r="C276">
            <v>80994</v>
          </cell>
          <cell r="D276">
            <v>2012</v>
          </cell>
          <cell r="E276">
            <v>32</v>
          </cell>
          <cell r="F276">
            <v>88</v>
          </cell>
          <cell r="G276">
            <v>235</v>
          </cell>
          <cell r="H276">
            <v>6</v>
          </cell>
          <cell r="I276">
            <v>110</v>
          </cell>
          <cell r="J276">
            <v>228</v>
          </cell>
          <cell r="K276">
            <v>503</v>
          </cell>
          <cell r="L276">
            <v>1.4</v>
          </cell>
          <cell r="M276">
            <v>4.9000000000000004</v>
          </cell>
          <cell r="N276">
            <v>9.8000000000000007</v>
          </cell>
          <cell r="O276">
            <v>0.3</v>
          </cell>
          <cell r="P276">
            <v>1.8</v>
          </cell>
          <cell r="R276">
            <v>139</v>
          </cell>
          <cell r="S276">
            <v>0</v>
          </cell>
          <cell r="T276">
            <v>7.02</v>
          </cell>
          <cell r="V276">
            <v>40</v>
          </cell>
          <cell r="W276">
            <v>-8.16</v>
          </cell>
          <cell r="X276">
            <v>293</v>
          </cell>
          <cell r="Y276">
            <v>0</v>
          </cell>
        </row>
        <row r="277">
          <cell r="B277" t="str">
            <v>Treber</v>
          </cell>
          <cell r="C277">
            <v>80995</v>
          </cell>
          <cell r="D277">
            <v>2013</v>
          </cell>
          <cell r="E277">
            <v>25.1</v>
          </cell>
          <cell r="F277">
            <v>234</v>
          </cell>
          <cell r="G277">
            <v>241</v>
          </cell>
          <cell r="H277">
            <v>83</v>
          </cell>
          <cell r="I277">
            <v>47</v>
          </cell>
          <cell r="J277">
            <v>346</v>
          </cell>
          <cell r="K277">
            <v>616</v>
          </cell>
          <cell r="L277">
            <v>8.5</v>
          </cell>
          <cell r="M277">
            <v>3.8</v>
          </cell>
          <cell r="N277">
            <v>3.4</v>
          </cell>
          <cell r="O277">
            <v>0.1</v>
          </cell>
          <cell r="P277">
            <v>2</v>
          </cell>
          <cell r="R277">
            <v>199</v>
          </cell>
          <cell r="S277">
            <v>0</v>
          </cell>
          <cell r="T277">
            <v>6.64</v>
          </cell>
          <cell r="V277">
            <v>2</v>
          </cell>
          <cell r="W277">
            <v>5.6</v>
          </cell>
          <cell r="X277">
            <v>20</v>
          </cell>
          <cell r="Y277">
            <v>0</v>
          </cell>
        </row>
        <row r="278">
          <cell r="B278" t="str">
            <v>Ackerbohnen</v>
          </cell>
          <cell r="C278">
            <v>80996</v>
          </cell>
          <cell r="D278">
            <v>2012</v>
          </cell>
          <cell r="E278">
            <v>89.3</v>
          </cell>
          <cell r="F278">
            <v>270</v>
          </cell>
          <cell r="G278">
            <v>223</v>
          </cell>
          <cell r="H278">
            <v>14</v>
          </cell>
          <cell r="I278">
            <v>41</v>
          </cell>
          <cell r="J278">
            <v>224</v>
          </cell>
          <cell r="K278">
            <v>384</v>
          </cell>
          <cell r="L278">
            <v>8.1999999999999993</v>
          </cell>
          <cell r="M278">
            <v>14.3</v>
          </cell>
          <cell r="N278">
            <v>1.9</v>
          </cell>
          <cell r="O278">
            <v>0.6</v>
          </cell>
          <cell r="P278">
            <v>1.3</v>
          </cell>
          <cell r="R278">
            <v>188</v>
          </cell>
          <cell r="S278">
            <v>0</v>
          </cell>
          <cell r="T278">
            <v>8.4499999999999993</v>
          </cell>
          <cell r="W278">
            <v>13.12</v>
          </cell>
          <cell r="X278">
            <v>291</v>
          </cell>
          <cell r="Y278">
            <v>0</v>
          </cell>
        </row>
        <row r="279">
          <cell r="B279" t="str">
            <v>Stroh, Gerste</v>
          </cell>
          <cell r="C279">
            <v>80997</v>
          </cell>
          <cell r="D279">
            <v>2012</v>
          </cell>
          <cell r="E279">
            <v>91.5</v>
          </cell>
          <cell r="F279">
            <v>38</v>
          </cell>
          <cell r="G279">
            <v>480</v>
          </cell>
          <cell r="H279">
            <v>15</v>
          </cell>
          <cell r="I279">
            <v>73</v>
          </cell>
          <cell r="J279">
            <v>532</v>
          </cell>
          <cell r="K279">
            <v>802</v>
          </cell>
          <cell r="L279">
            <v>2.1</v>
          </cell>
          <cell r="M279">
            <v>19.2</v>
          </cell>
          <cell r="N279">
            <v>5.4</v>
          </cell>
          <cell r="O279">
            <v>0.8</v>
          </cell>
          <cell r="P279">
            <v>0.5</v>
          </cell>
          <cell r="R279">
            <v>77</v>
          </cell>
          <cell r="S279">
            <v>0</v>
          </cell>
          <cell r="T279">
            <v>3.71</v>
          </cell>
          <cell r="W279">
            <v>-6.24</v>
          </cell>
          <cell r="X279">
            <v>72</v>
          </cell>
          <cell r="Y279">
            <v>0</v>
          </cell>
        </row>
        <row r="280">
          <cell r="B280" t="str">
            <v>Heu, 2. S.</v>
          </cell>
          <cell r="C280">
            <v>80998</v>
          </cell>
          <cell r="D280">
            <v>2012</v>
          </cell>
          <cell r="E280">
            <v>91.5</v>
          </cell>
          <cell r="F280">
            <v>151</v>
          </cell>
          <cell r="G280">
            <v>357</v>
          </cell>
          <cell r="H280">
            <v>36</v>
          </cell>
          <cell r="I280">
            <v>94</v>
          </cell>
          <cell r="J280">
            <v>362</v>
          </cell>
          <cell r="K280">
            <v>519</v>
          </cell>
          <cell r="L280">
            <v>5.2</v>
          </cell>
          <cell r="M280">
            <v>23.8</v>
          </cell>
          <cell r="N280">
            <v>5.2</v>
          </cell>
          <cell r="O280">
            <v>3.8</v>
          </cell>
          <cell r="P280">
            <v>2.2999999999999998</v>
          </cell>
          <cell r="R280">
            <v>140</v>
          </cell>
          <cell r="S280">
            <v>0</v>
          </cell>
          <cell r="T280">
            <v>5.83</v>
          </cell>
          <cell r="U280">
            <v>3.26</v>
          </cell>
          <cell r="W280">
            <v>1.76</v>
          </cell>
          <cell r="X280">
            <v>200</v>
          </cell>
          <cell r="Y280">
            <v>0</v>
          </cell>
        </row>
        <row r="281">
          <cell r="B281" t="str">
            <v>RES</v>
          </cell>
          <cell r="C281">
            <v>80999</v>
          </cell>
          <cell r="D281">
            <v>2013</v>
          </cell>
          <cell r="E281">
            <v>89.1</v>
          </cell>
          <cell r="F281">
            <v>388</v>
          </cell>
          <cell r="G281">
            <v>176</v>
          </cell>
          <cell r="H281">
            <v>24</v>
          </cell>
          <cell r="I281">
            <v>73</v>
          </cell>
          <cell r="J281">
            <v>238</v>
          </cell>
          <cell r="K281">
            <v>363</v>
          </cell>
          <cell r="L281">
            <v>16.5</v>
          </cell>
          <cell r="M281">
            <v>14.1</v>
          </cell>
          <cell r="N281">
            <v>9</v>
          </cell>
          <cell r="O281">
            <v>1.3</v>
          </cell>
          <cell r="P281">
            <v>4.9000000000000004</v>
          </cell>
          <cell r="R281">
            <v>255</v>
          </cell>
          <cell r="S281">
            <v>0</v>
          </cell>
          <cell r="T281">
            <v>7.32</v>
          </cell>
          <cell r="W281">
            <v>21.28</v>
          </cell>
          <cell r="X281">
            <v>152</v>
          </cell>
          <cell r="Y281">
            <v>0</v>
          </cell>
        </row>
        <row r="282">
          <cell r="B282" t="str">
            <v>WG 50/44,5/4/1,5</v>
          </cell>
          <cell r="C282">
            <v>81000</v>
          </cell>
          <cell r="D282">
            <v>2013</v>
          </cell>
          <cell r="E282">
            <v>89.6</v>
          </cell>
          <cell r="F282">
            <v>270</v>
          </cell>
          <cell r="G282">
            <v>161</v>
          </cell>
          <cell r="H282">
            <v>21</v>
          </cell>
          <cell r="I282">
            <v>86</v>
          </cell>
          <cell r="J282">
            <v>149</v>
          </cell>
          <cell r="K282">
            <v>307</v>
          </cell>
          <cell r="L282">
            <v>12.8</v>
          </cell>
          <cell r="M282">
            <v>10.4</v>
          </cell>
          <cell r="N282">
            <v>12.9</v>
          </cell>
          <cell r="O282">
            <v>4.5</v>
          </cell>
          <cell r="P282">
            <v>4.7</v>
          </cell>
          <cell r="R282">
            <v>193</v>
          </cell>
          <cell r="S282">
            <v>0</v>
          </cell>
          <cell r="T282">
            <v>7.35</v>
          </cell>
          <cell r="W282">
            <v>12.32</v>
          </cell>
          <cell r="X282">
            <v>316</v>
          </cell>
          <cell r="Y282">
            <v>0</v>
          </cell>
        </row>
        <row r="283">
          <cell r="B283" t="str">
            <v>GB 40/54,5/4/1,5</v>
          </cell>
          <cell r="C283">
            <v>81001</v>
          </cell>
          <cell r="D283">
            <v>2013</v>
          </cell>
          <cell r="E283" t="str">
            <v>89.8</v>
          </cell>
          <cell r="F283">
            <v>256</v>
          </cell>
          <cell r="G283">
            <v>232</v>
          </cell>
          <cell r="H283">
            <v>19</v>
          </cell>
          <cell r="I283">
            <v>85</v>
          </cell>
          <cell r="J283">
            <v>163</v>
          </cell>
          <cell r="K283">
            <v>337</v>
          </cell>
          <cell r="L283">
            <v>11.6</v>
          </cell>
          <cell r="M283">
            <v>11</v>
          </cell>
          <cell r="N283">
            <v>11.2</v>
          </cell>
          <cell r="O283">
            <v>6</v>
          </cell>
          <cell r="P283">
            <v>3.5</v>
          </cell>
          <cell r="R283">
            <v>182</v>
          </cell>
          <cell r="S283">
            <v>0</v>
          </cell>
          <cell r="T283">
            <v>7.45</v>
          </cell>
          <cell r="W283">
            <v>11.84</v>
          </cell>
          <cell r="X283">
            <v>303</v>
          </cell>
          <cell r="Y283">
            <v>0</v>
          </cell>
        </row>
        <row r="284">
          <cell r="B284" t="str">
            <v>Treber</v>
          </cell>
          <cell r="C284">
            <v>81002</v>
          </cell>
          <cell r="D284">
            <v>2013</v>
          </cell>
          <cell r="E284">
            <v>21.4</v>
          </cell>
          <cell r="F284">
            <v>226</v>
          </cell>
          <cell r="G284">
            <v>250</v>
          </cell>
          <cell r="H284">
            <v>87</v>
          </cell>
          <cell r="I284">
            <v>49</v>
          </cell>
          <cell r="J284">
            <v>335</v>
          </cell>
          <cell r="K284">
            <v>623</v>
          </cell>
          <cell r="L284">
            <v>7.9</v>
          </cell>
          <cell r="M284">
            <v>0.8</v>
          </cell>
          <cell r="N284">
            <v>3.8</v>
          </cell>
          <cell r="O284">
            <v>0.1</v>
          </cell>
          <cell r="P284">
            <v>2</v>
          </cell>
          <cell r="R284">
            <v>196</v>
          </cell>
          <cell r="S284">
            <v>0</v>
          </cell>
          <cell r="T284">
            <v>6.65</v>
          </cell>
          <cell r="W284">
            <v>4.8</v>
          </cell>
          <cell r="X284">
            <v>15</v>
          </cell>
          <cell r="Y284">
            <v>0</v>
          </cell>
        </row>
        <row r="285">
          <cell r="B285" t="str">
            <v>Heu, 2. S.</v>
          </cell>
          <cell r="C285">
            <v>81003</v>
          </cell>
          <cell r="D285">
            <v>2012</v>
          </cell>
          <cell r="E285">
            <v>90.4</v>
          </cell>
          <cell r="F285">
            <v>127</v>
          </cell>
          <cell r="G285">
            <v>338</v>
          </cell>
          <cell r="H285">
            <v>28</v>
          </cell>
          <cell r="I285">
            <v>69</v>
          </cell>
          <cell r="J285">
            <v>350</v>
          </cell>
          <cell r="K285">
            <v>575</v>
          </cell>
          <cell r="L285">
            <v>4.0999999999999996</v>
          </cell>
          <cell r="M285">
            <v>17.899999999999999</v>
          </cell>
          <cell r="N285">
            <v>5.9</v>
          </cell>
          <cell r="O285">
            <v>2.1</v>
          </cell>
          <cell r="P285">
            <v>2.5</v>
          </cell>
          <cell r="R285">
            <v>128</v>
          </cell>
          <cell r="S285">
            <v>0</v>
          </cell>
          <cell r="T285">
            <v>5.45</v>
          </cell>
          <cell r="U285">
            <v>3.6</v>
          </cell>
          <cell r="W285">
            <v>-0.16</v>
          </cell>
          <cell r="X285">
            <v>201</v>
          </cell>
          <cell r="Y285">
            <v>0</v>
          </cell>
        </row>
        <row r="286">
          <cell r="B286" t="str">
            <v>Heu, 2. S.</v>
          </cell>
          <cell r="C286">
            <v>81004</v>
          </cell>
          <cell r="D286">
            <v>2012</v>
          </cell>
          <cell r="E286">
            <v>90.3</v>
          </cell>
          <cell r="F286">
            <v>127</v>
          </cell>
          <cell r="G286">
            <v>319</v>
          </cell>
          <cell r="H286">
            <v>26</v>
          </cell>
          <cell r="I286">
            <v>77</v>
          </cell>
          <cell r="J286">
            <v>336</v>
          </cell>
          <cell r="K286">
            <v>566</v>
          </cell>
          <cell r="L286">
            <v>4.4000000000000004</v>
          </cell>
          <cell r="M286">
            <v>19.600000000000001</v>
          </cell>
          <cell r="N286">
            <v>5.9</v>
          </cell>
          <cell r="O286">
            <v>2.1</v>
          </cell>
          <cell r="P286">
            <v>2.5</v>
          </cell>
          <cell r="R286">
            <v>131</v>
          </cell>
          <cell r="S286">
            <v>0</v>
          </cell>
          <cell r="T286">
            <v>5.62</v>
          </cell>
          <cell r="U286">
            <v>3.55</v>
          </cell>
          <cell r="W286">
            <v>-0.64</v>
          </cell>
          <cell r="X286">
            <v>204</v>
          </cell>
          <cell r="Y286">
            <v>0</v>
          </cell>
        </row>
        <row r="287">
          <cell r="B287" t="str">
            <v>WGMR 14/16/16/21</v>
          </cell>
          <cell r="C287">
            <v>81005</v>
          </cell>
          <cell r="D287">
            <v>2013</v>
          </cell>
          <cell r="E287">
            <v>89.6</v>
          </cell>
          <cell r="F287">
            <v>191</v>
          </cell>
          <cell r="G287">
            <v>183</v>
          </cell>
          <cell r="H287">
            <v>35</v>
          </cell>
          <cell r="I287">
            <v>92</v>
          </cell>
          <cell r="J287">
            <v>144</v>
          </cell>
          <cell r="K287">
            <v>411</v>
          </cell>
          <cell r="L287">
            <v>9.8000000000000007</v>
          </cell>
          <cell r="M287">
            <v>10</v>
          </cell>
          <cell r="N287">
            <v>13.7</v>
          </cell>
          <cell r="O287">
            <v>3.7</v>
          </cell>
          <cell r="P287">
            <v>4</v>
          </cell>
          <cell r="R287">
            <v>180</v>
          </cell>
          <cell r="S287">
            <v>0</v>
          </cell>
          <cell r="T287">
            <v>7.63</v>
          </cell>
          <cell r="W287">
            <v>1.76</v>
          </cell>
          <cell r="X287">
            <v>271</v>
          </cell>
          <cell r="Y287">
            <v>0</v>
          </cell>
        </row>
        <row r="288">
          <cell r="B288" t="str">
            <v>WGMR 14/16/16/21</v>
          </cell>
          <cell r="C288">
            <v>81006</v>
          </cell>
          <cell r="D288">
            <v>2013</v>
          </cell>
          <cell r="E288">
            <v>89.5</v>
          </cell>
          <cell r="F288">
            <v>213</v>
          </cell>
          <cell r="G288">
            <v>199</v>
          </cell>
          <cell r="H288">
            <v>42</v>
          </cell>
          <cell r="I288">
            <v>84</v>
          </cell>
          <cell r="J288">
            <v>152</v>
          </cell>
          <cell r="K288">
            <v>357</v>
          </cell>
          <cell r="L288">
            <v>10.6</v>
          </cell>
          <cell r="M288">
            <v>10.7</v>
          </cell>
          <cell r="N288">
            <v>12.3</v>
          </cell>
          <cell r="O288">
            <v>3.5</v>
          </cell>
          <cell r="P288">
            <v>3.4</v>
          </cell>
          <cell r="R288">
            <v>189</v>
          </cell>
          <cell r="S288">
            <v>0</v>
          </cell>
          <cell r="T288">
            <v>7.63</v>
          </cell>
          <cell r="W288">
            <v>3.84</v>
          </cell>
          <cell r="X288">
            <v>304</v>
          </cell>
          <cell r="Y288">
            <v>0</v>
          </cell>
        </row>
        <row r="289">
          <cell r="B289" t="str">
            <v>Treber</v>
          </cell>
          <cell r="C289">
            <v>81007</v>
          </cell>
          <cell r="D289">
            <v>2013</v>
          </cell>
          <cell r="E289">
            <v>21.8</v>
          </cell>
          <cell r="F289">
            <v>257</v>
          </cell>
          <cell r="G289">
            <v>255</v>
          </cell>
          <cell r="H289">
            <v>86</v>
          </cell>
          <cell r="I289">
            <v>46</v>
          </cell>
          <cell r="J289">
            <v>316</v>
          </cell>
          <cell r="K289">
            <v>611</v>
          </cell>
          <cell r="L289">
            <v>11.5</v>
          </cell>
          <cell r="M289">
            <v>2.7</v>
          </cell>
          <cell r="N289">
            <v>5.9</v>
          </cell>
          <cell r="O289">
            <v>0.2</v>
          </cell>
          <cell r="P289">
            <v>2.9</v>
          </cell>
          <cell r="R289">
            <v>210</v>
          </cell>
          <cell r="S289">
            <v>0</v>
          </cell>
          <cell r="T289">
            <v>6.69</v>
          </cell>
          <cell r="W289">
            <v>7.52</v>
          </cell>
          <cell r="X289">
            <v>0</v>
          </cell>
          <cell r="Y289">
            <v>0</v>
          </cell>
        </row>
        <row r="290">
          <cell r="B290" t="str">
            <v>Heu, 2. S.</v>
          </cell>
          <cell r="C290">
            <v>81008</v>
          </cell>
          <cell r="D290">
            <v>2012</v>
          </cell>
          <cell r="E290">
            <v>89.2</v>
          </cell>
          <cell r="F290">
            <v>131</v>
          </cell>
          <cell r="G290">
            <v>244</v>
          </cell>
          <cell r="H290">
            <v>25</v>
          </cell>
          <cell r="I290">
            <v>77</v>
          </cell>
          <cell r="J290">
            <v>334</v>
          </cell>
          <cell r="K290">
            <v>577</v>
          </cell>
          <cell r="L290">
            <v>4.3</v>
          </cell>
          <cell r="M290">
            <v>17.899999999999999</v>
          </cell>
          <cell r="N290">
            <v>5.6</v>
          </cell>
          <cell r="O290">
            <v>2.6</v>
          </cell>
          <cell r="P290">
            <v>2.4</v>
          </cell>
          <cell r="R290">
            <v>130</v>
          </cell>
          <cell r="S290">
            <v>0</v>
          </cell>
          <cell r="T290">
            <v>5.54</v>
          </cell>
          <cell r="U290">
            <v>3.61</v>
          </cell>
          <cell r="W290">
            <v>0.16</v>
          </cell>
          <cell r="X290">
            <v>190</v>
          </cell>
          <cell r="Y290">
            <v>0</v>
          </cell>
        </row>
        <row r="291">
          <cell r="B291" t="str">
            <v>WGMR 14/16/16/21</v>
          </cell>
          <cell r="C291">
            <v>81009</v>
          </cell>
          <cell r="D291">
            <v>2012</v>
          </cell>
          <cell r="E291">
            <v>88.9</v>
          </cell>
          <cell r="F291">
            <v>210</v>
          </cell>
          <cell r="G291">
            <v>179</v>
          </cell>
          <cell r="H291">
            <v>39</v>
          </cell>
          <cell r="I291">
            <v>78</v>
          </cell>
          <cell r="J291">
            <v>151</v>
          </cell>
          <cell r="K291">
            <v>323</v>
          </cell>
          <cell r="L291">
            <v>10.5</v>
          </cell>
          <cell r="M291">
            <v>11.2</v>
          </cell>
          <cell r="N291">
            <v>10.199999999999999</v>
          </cell>
          <cell r="O291">
            <v>3.3</v>
          </cell>
          <cell r="P291">
            <v>2.8</v>
          </cell>
          <cell r="R291">
            <v>188</v>
          </cell>
          <cell r="S291">
            <v>0</v>
          </cell>
          <cell r="T291">
            <v>7.56</v>
          </cell>
          <cell r="W291">
            <v>3.52</v>
          </cell>
          <cell r="X291">
            <v>350</v>
          </cell>
          <cell r="Y291">
            <v>0</v>
          </cell>
        </row>
        <row r="292">
          <cell r="B292" t="str">
            <v>*RB Rohrschwingel 1.Schnitt</v>
          </cell>
          <cell r="C292">
            <v>81010</v>
          </cell>
          <cell r="D292">
            <v>2013</v>
          </cell>
          <cell r="E292">
            <v>24.5</v>
          </cell>
          <cell r="F292">
            <v>202</v>
          </cell>
          <cell r="G292">
            <v>334</v>
          </cell>
          <cell r="H292">
            <v>27</v>
          </cell>
          <cell r="I292">
            <v>112</v>
          </cell>
          <cell r="J292">
            <v>301</v>
          </cell>
          <cell r="K292">
            <v>552</v>
          </cell>
          <cell r="L292">
            <v>5.8</v>
          </cell>
          <cell r="M292">
            <v>41.4</v>
          </cell>
          <cell r="N292">
            <v>3.6</v>
          </cell>
          <cell r="O292">
            <v>0.8</v>
          </cell>
          <cell r="P292">
            <v>2.2000000000000002</v>
          </cell>
          <cell r="R292">
            <v>145</v>
          </cell>
          <cell r="S292">
            <v>0</v>
          </cell>
          <cell r="T292">
            <v>6.25</v>
          </cell>
          <cell r="U292">
            <v>3.46</v>
          </cell>
          <cell r="W292">
            <v>9.1199999999999992</v>
          </cell>
          <cell r="X292">
            <v>107</v>
          </cell>
          <cell r="Y292">
            <v>0</v>
          </cell>
        </row>
        <row r="293">
          <cell r="B293" t="str">
            <v>*RB Dt. Weidelgras 1. Schnitt</v>
          </cell>
          <cell r="C293">
            <v>81011</v>
          </cell>
          <cell r="D293">
            <v>2013</v>
          </cell>
          <cell r="E293">
            <v>23.8</v>
          </cell>
          <cell r="F293">
            <v>185</v>
          </cell>
          <cell r="G293">
            <v>340</v>
          </cell>
          <cell r="H293">
            <v>29</v>
          </cell>
          <cell r="I293">
            <v>108</v>
          </cell>
          <cell r="J293">
            <v>295</v>
          </cell>
          <cell r="K293">
            <v>506</v>
          </cell>
          <cell r="L293">
            <v>6.8</v>
          </cell>
          <cell r="M293">
            <v>39.5</v>
          </cell>
          <cell r="N293">
            <v>4.4000000000000004</v>
          </cell>
          <cell r="O293">
            <v>0.5</v>
          </cell>
          <cell r="P293">
            <v>1.4</v>
          </cell>
          <cell r="R293">
            <v>149</v>
          </cell>
          <cell r="S293">
            <v>0</v>
          </cell>
          <cell r="T293">
            <v>6.71</v>
          </cell>
          <cell r="U293">
            <v>3.18</v>
          </cell>
          <cell r="W293">
            <v>5.76</v>
          </cell>
          <cell r="X293">
            <v>172</v>
          </cell>
          <cell r="Y293">
            <v>0</v>
          </cell>
        </row>
        <row r="294">
          <cell r="B294" t="str">
            <v>Silo 6</v>
          </cell>
          <cell r="C294">
            <v>81012</v>
          </cell>
          <cell r="D294">
            <v>2011</v>
          </cell>
          <cell r="E294">
            <v>38.6</v>
          </cell>
          <cell r="F294">
            <v>84</v>
          </cell>
          <cell r="G294">
            <v>179</v>
          </cell>
          <cell r="H294">
            <v>41</v>
          </cell>
          <cell r="I294">
            <v>38</v>
          </cell>
          <cell r="J294">
            <v>201</v>
          </cell>
          <cell r="K294">
            <v>415</v>
          </cell>
          <cell r="L294">
            <v>3.5</v>
          </cell>
          <cell r="M294">
            <v>11.1</v>
          </cell>
          <cell r="N294">
            <v>1.9</v>
          </cell>
          <cell r="O294">
            <v>0.1</v>
          </cell>
          <cell r="P294">
            <v>1</v>
          </cell>
          <cell r="R294">
            <v>144</v>
          </cell>
          <cell r="S294">
            <v>0</v>
          </cell>
          <cell r="T294">
            <v>7.38</v>
          </cell>
          <cell r="U294">
            <v>1.92</v>
          </cell>
          <cell r="V294">
            <v>6</v>
          </cell>
          <cell r="W294">
            <v>-9.6</v>
          </cell>
          <cell r="X294">
            <v>422</v>
          </cell>
          <cell r="Y294">
            <v>0</v>
          </cell>
        </row>
        <row r="295">
          <cell r="B295" t="str">
            <v>Silo 1</v>
          </cell>
          <cell r="C295">
            <v>81013</v>
          </cell>
          <cell r="D295">
            <v>2012</v>
          </cell>
          <cell r="E295">
            <v>43</v>
          </cell>
          <cell r="F295">
            <v>143</v>
          </cell>
          <cell r="G295">
            <v>318</v>
          </cell>
          <cell r="H295">
            <v>29</v>
          </cell>
          <cell r="I295">
            <v>166</v>
          </cell>
          <cell r="J295">
            <v>313</v>
          </cell>
          <cell r="K295">
            <v>469</v>
          </cell>
          <cell r="L295">
            <v>5.4</v>
          </cell>
          <cell r="M295">
            <v>30.6</v>
          </cell>
          <cell r="N295">
            <v>6.6</v>
          </cell>
          <cell r="O295">
            <v>1</v>
          </cell>
          <cell r="P295">
            <v>2</v>
          </cell>
          <cell r="R295">
            <v>122</v>
          </cell>
          <cell r="S295">
            <v>0</v>
          </cell>
          <cell r="T295">
            <v>5.43</v>
          </cell>
          <cell r="U295">
            <v>2.96</v>
          </cell>
          <cell r="V295">
            <v>57</v>
          </cell>
          <cell r="W295">
            <v>3.36</v>
          </cell>
          <cell r="X295">
            <v>193</v>
          </cell>
          <cell r="Y295">
            <v>0</v>
          </cell>
        </row>
        <row r="296">
          <cell r="B296" t="str">
            <v>Treber</v>
          </cell>
          <cell r="C296">
            <v>81014</v>
          </cell>
          <cell r="D296">
            <v>2013</v>
          </cell>
          <cell r="E296">
            <v>22.2</v>
          </cell>
          <cell r="F296">
            <v>233</v>
          </cell>
          <cell r="G296">
            <v>253</v>
          </cell>
          <cell r="H296">
            <v>89</v>
          </cell>
          <cell r="I296">
            <v>42</v>
          </cell>
          <cell r="J296">
            <v>317</v>
          </cell>
          <cell r="K296">
            <v>595</v>
          </cell>
          <cell r="L296">
            <v>7.7</v>
          </cell>
          <cell r="M296">
            <v>3.9</v>
          </cell>
          <cell r="N296">
            <v>3.6</v>
          </cell>
          <cell r="O296">
            <v>0.2</v>
          </cell>
          <cell r="P296">
            <v>1.6</v>
          </cell>
          <cell r="R296">
            <v>200</v>
          </cell>
          <cell r="S296">
            <v>0</v>
          </cell>
          <cell r="T296">
            <v>6.71</v>
          </cell>
          <cell r="W296">
            <v>5.28</v>
          </cell>
          <cell r="X296">
            <v>41</v>
          </cell>
          <cell r="Y296">
            <v>0</v>
          </cell>
        </row>
        <row r="297">
          <cell r="B297" t="str">
            <v>Heu, 2. S.</v>
          </cell>
          <cell r="C297">
            <v>81015</v>
          </cell>
          <cell r="D297">
            <v>2012</v>
          </cell>
          <cell r="E297">
            <v>89.4</v>
          </cell>
          <cell r="F297">
            <v>146</v>
          </cell>
          <cell r="G297">
            <v>324</v>
          </cell>
          <cell r="H297">
            <v>26</v>
          </cell>
          <cell r="I297">
            <v>81</v>
          </cell>
          <cell r="J297">
            <v>323</v>
          </cell>
          <cell r="K297">
            <v>537</v>
          </cell>
          <cell r="L297">
            <v>4.7</v>
          </cell>
          <cell r="M297">
            <v>20</v>
          </cell>
          <cell r="N297">
            <v>6</v>
          </cell>
          <cell r="O297">
            <v>2.8</v>
          </cell>
          <cell r="P297">
            <v>2.5</v>
          </cell>
          <cell r="R297">
            <v>139</v>
          </cell>
          <cell r="S297">
            <v>0</v>
          </cell>
          <cell r="T297">
            <v>5.84</v>
          </cell>
          <cell r="U297">
            <v>3.37</v>
          </cell>
          <cell r="W297">
            <v>1.1200000000000001</v>
          </cell>
          <cell r="X297">
            <v>210</v>
          </cell>
          <cell r="Y297">
            <v>0</v>
          </cell>
        </row>
        <row r="298">
          <cell r="B298" t="str">
            <v>Stroh, Gerste</v>
          </cell>
          <cell r="C298">
            <v>81016</v>
          </cell>
          <cell r="D298">
            <v>2012</v>
          </cell>
          <cell r="E298">
            <v>89.9</v>
          </cell>
          <cell r="F298">
            <v>43</v>
          </cell>
          <cell r="G298">
            <v>477</v>
          </cell>
          <cell r="H298">
            <v>16</v>
          </cell>
          <cell r="I298">
            <v>60</v>
          </cell>
          <cell r="J298">
            <v>534</v>
          </cell>
          <cell r="K298">
            <v>795</v>
          </cell>
          <cell r="L298">
            <v>1.6</v>
          </cell>
          <cell r="M298">
            <v>14.5</v>
          </cell>
          <cell r="N298">
            <v>5.9</v>
          </cell>
          <cell r="O298">
            <v>0.4</v>
          </cell>
          <cell r="P298">
            <v>0.8</v>
          </cell>
          <cell r="R298">
            <v>80</v>
          </cell>
          <cell r="S298">
            <v>0</v>
          </cell>
          <cell r="T298">
            <v>3.77</v>
          </cell>
          <cell r="W298">
            <v>-5.92</v>
          </cell>
          <cell r="X298">
            <v>86</v>
          </cell>
          <cell r="Y298">
            <v>0</v>
          </cell>
        </row>
        <row r="299">
          <cell r="B299" t="str">
            <v>RES</v>
          </cell>
          <cell r="C299">
            <v>81017</v>
          </cell>
          <cell r="D299">
            <v>2013</v>
          </cell>
          <cell r="E299">
            <v>89.3</v>
          </cell>
          <cell r="F299">
            <v>398</v>
          </cell>
          <cell r="G299">
            <v>169</v>
          </cell>
          <cell r="H299">
            <v>22</v>
          </cell>
          <cell r="I299">
            <v>76</v>
          </cell>
          <cell r="J299">
            <v>260</v>
          </cell>
          <cell r="K299">
            <v>375</v>
          </cell>
          <cell r="L299">
            <v>16.3</v>
          </cell>
          <cell r="M299">
            <v>13.7</v>
          </cell>
          <cell r="N299">
            <v>7.4</v>
          </cell>
          <cell r="O299">
            <v>0.9</v>
          </cell>
          <cell r="P299">
            <v>5.3</v>
          </cell>
          <cell r="R299">
            <v>258</v>
          </cell>
          <cell r="S299">
            <v>0</v>
          </cell>
          <cell r="T299">
            <v>7.31</v>
          </cell>
          <cell r="W299">
            <v>22.4</v>
          </cell>
          <cell r="X299">
            <v>129</v>
          </cell>
          <cell r="Y299">
            <v>0</v>
          </cell>
        </row>
        <row r="300">
          <cell r="B300" t="str">
            <v>Treber</v>
          </cell>
          <cell r="C300">
            <v>81018</v>
          </cell>
          <cell r="D300">
            <v>2013</v>
          </cell>
          <cell r="E300">
            <v>20.5</v>
          </cell>
          <cell r="F300">
            <v>266</v>
          </cell>
          <cell r="G300">
            <v>270</v>
          </cell>
          <cell r="H300">
            <v>89</v>
          </cell>
          <cell r="I300">
            <v>54</v>
          </cell>
          <cell r="J300">
            <v>334</v>
          </cell>
          <cell r="K300">
            <v>589</v>
          </cell>
          <cell r="L300">
            <v>11.8</v>
          </cell>
          <cell r="M300">
            <v>0.9</v>
          </cell>
          <cell r="N300">
            <v>6.1</v>
          </cell>
          <cell r="O300">
            <v>0.2</v>
          </cell>
          <cell r="P300">
            <v>2.9</v>
          </cell>
          <cell r="R300">
            <v>213</v>
          </cell>
          <cell r="S300">
            <v>0</v>
          </cell>
          <cell r="T300">
            <v>6.67</v>
          </cell>
          <cell r="V300">
            <v>7</v>
          </cell>
          <cell r="W300">
            <v>8.48</v>
          </cell>
          <cell r="X300">
            <v>2</v>
          </cell>
          <cell r="Y300">
            <v>0</v>
          </cell>
        </row>
        <row r="301">
          <cell r="B301" t="str">
            <v>WGB 43/43/7/5/2</v>
          </cell>
          <cell r="C301">
            <v>81018</v>
          </cell>
          <cell r="D301">
            <v>2013</v>
          </cell>
          <cell r="E301">
            <v>89.3</v>
          </cell>
          <cell r="F301">
            <v>147</v>
          </cell>
          <cell r="G301">
            <v>220</v>
          </cell>
          <cell r="H301">
            <v>16</v>
          </cell>
          <cell r="I301">
            <v>69</v>
          </cell>
          <cell r="J301">
            <v>126</v>
          </cell>
          <cell r="K301">
            <v>250</v>
          </cell>
          <cell r="L301">
            <v>7.2</v>
          </cell>
          <cell r="M301">
            <v>7.2</v>
          </cell>
          <cell r="N301">
            <v>7.4</v>
          </cell>
          <cell r="O301">
            <v>8.6999999999999993</v>
          </cell>
          <cell r="P301">
            <v>2</v>
          </cell>
          <cell r="R301">
            <v>163</v>
          </cell>
          <cell r="S301">
            <v>0</v>
          </cell>
          <cell r="T301">
            <v>7.88</v>
          </cell>
          <cell r="W301">
            <v>-2.56</v>
          </cell>
          <cell r="X301">
            <v>518</v>
          </cell>
          <cell r="Y301">
            <v>0</v>
          </cell>
        </row>
        <row r="302">
          <cell r="B302" t="str">
            <v>Treber</v>
          </cell>
          <cell r="C302">
            <v>81020</v>
          </cell>
          <cell r="D302">
            <v>2013</v>
          </cell>
          <cell r="E302">
            <v>23.6</v>
          </cell>
          <cell r="F302">
            <v>239</v>
          </cell>
          <cell r="G302">
            <v>251</v>
          </cell>
          <cell r="H302">
            <v>94</v>
          </cell>
          <cell r="I302">
            <v>46</v>
          </cell>
          <cell r="J302">
            <v>333</v>
          </cell>
          <cell r="K302">
            <v>591</v>
          </cell>
          <cell r="L302">
            <v>9.1</v>
          </cell>
          <cell r="M302">
            <v>1.8</v>
          </cell>
          <cell r="N302">
            <v>4.5</v>
          </cell>
          <cell r="O302">
            <v>0.1</v>
          </cell>
          <cell r="P302">
            <v>1.9</v>
          </cell>
          <cell r="R302">
            <v>203</v>
          </cell>
          <cell r="S302">
            <v>0</v>
          </cell>
          <cell r="T302">
            <v>6.74</v>
          </cell>
          <cell r="U302">
            <v>1.05</v>
          </cell>
          <cell r="W302">
            <v>5.76</v>
          </cell>
          <cell r="X302">
            <v>30</v>
          </cell>
          <cell r="Y302">
            <v>0</v>
          </cell>
        </row>
        <row r="303">
          <cell r="B303" t="str">
            <v>RES</v>
          </cell>
          <cell r="C303">
            <v>81021</v>
          </cell>
          <cell r="D303">
            <v>2013</v>
          </cell>
          <cell r="E303">
            <v>88.4</v>
          </cell>
          <cell r="F303">
            <v>392</v>
          </cell>
          <cell r="G303">
            <v>171</v>
          </cell>
          <cell r="H303">
            <v>14</v>
          </cell>
          <cell r="I303">
            <v>79</v>
          </cell>
          <cell r="J303">
            <v>258</v>
          </cell>
          <cell r="K303">
            <v>362</v>
          </cell>
          <cell r="L303">
            <v>16.2</v>
          </cell>
          <cell r="M303">
            <v>13.9</v>
          </cell>
          <cell r="N303">
            <v>7.7</v>
          </cell>
          <cell r="O303">
            <v>0.1</v>
          </cell>
          <cell r="P303">
            <v>4.5</v>
          </cell>
          <cell r="R303">
            <v>254</v>
          </cell>
          <cell r="S303">
            <v>0</v>
          </cell>
          <cell r="T303">
            <v>7.22</v>
          </cell>
          <cell r="W303">
            <v>22.08</v>
          </cell>
          <cell r="X303">
            <v>153</v>
          </cell>
          <cell r="Y303">
            <v>0</v>
          </cell>
        </row>
        <row r="304">
          <cell r="B304" t="str">
            <v>Silo 8</v>
          </cell>
          <cell r="C304">
            <v>81026</v>
          </cell>
          <cell r="D304">
            <v>2012</v>
          </cell>
          <cell r="E304">
            <v>38.799999999999997</v>
          </cell>
          <cell r="F304">
            <v>83</v>
          </cell>
          <cell r="G304">
            <v>225</v>
          </cell>
          <cell r="H304">
            <v>40</v>
          </cell>
          <cell r="I304">
            <v>42</v>
          </cell>
          <cell r="J304">
            <v>215</v>
          </cell>
          <cell r="K304">
            <v>378</v>
          </cell>
          <cell r="L304">
            <v>3.1</v>
          </cell>
          <cell r="M304">
            <v>10.1</v>
          </cell>
          <cell r="N304">
            <v>2.2000000000000002</v>
          </cell>
          <cell r="O304">
            <v>0.5</v>
          </cell>
          <cell r="P304">
            <v>1.1000000000000001</v>
          </cell>
          <cell r="R304">
            <v>141</v>
          </cell>
          <cell r="S304">
            <v>0</v>
          </cell>
          <cell r="T304">
            <v>7.21</v>
          </cell>
          <cell r="U304">
            <v>1.69</v>
          </cell>
          <cell r="V304">
            <v>0</v>
          </cell>
          <cell r="W304">
            <v>-9.2799999999999994</v>
          </cell>
          <cell r="X304">
            <v>457</v>
          </cell>
          <cell r="Y304">
            <v>0</v>
          </cell>
        </row>
        <row r="305">
          <cell r="B305" t="str">
            <v>Silo 1</v>
          </cell>
          <cell r="C305">
            <v>81027</v>
          </cell>
          <cell r="D305">
            <v>2012</v>
          </cell>
          <cell r="E305">
            <v>41.8</v>
          </cell>
          <cell r="F305">
            <v>151</v>
          </cell>
          <cell r="G305">
            <v>333</v>
          </cell>
          <cell r="H305">
            <v>34</v>
          </cell>
          <cell r="I305">
            <v>130</v>
          </cell>
          <cell r="J305">
            <v>314</v>
          </cell>
          <cell r="K305">
            <v>481</v>
          </cell>
          <cell r="L305">
            <v>6.5</v>
          </cell>
          <cell r="M305">
            <v>42.6</v>
          </cell>
          <cell r="N305">
            <v>5.6</v>
          </cell>
          <cell r="O305">
            <v>0.5</v>
          </cell>
          <cell r="P305">
            <v>2</v>
          </cell>
          <cell r="R305">
            <v>130</v>
          </cell>
          <cell r="S305">
            <v>0</v>
          </cell>
          <cell r="T305">
            <v>5.83</v>
          </cell>
          <cell r="U305">
            <v>3.04</v>
          </cell>
          <cell r="V305">
            <v>29</v>
          </cell>
          <cell r="W305">
            <v>3.36</v>
          </cell>
          <cell r="X305">
            <v>204</v>
          </cell>
          <cell r="Y305">
            <v>0</v>
          </cell>
        </row>
        <row r="306">
          <cell r="B306" t="str">
            <v>Treber</v>
          </cell>
          <cell r="C306">
            <v>81028</v>
          </cell>
          <cell r="D306">
            <v>2013</v>
          </cell>
          <cell r="E306">
            <v>21.5</v>
          </cell>
          <cell r="F306">
            <v>265</v>
          </cell>
          <cell r="G306">
            <v>254</v>
          </cell>
          <cell r="H306">
            <v>89</v>
          </cell>
          <cell r="I306">
            <v>43</v>
          </cell>
          <cell r="J306">
            <v>330</v>
          </cell>
          <cell r="K306">
            <v>588</v>
          </cell>
          <cell r="L306">
            <v>8.8000000000000007</v>
          </cell>
          <cell r="M306">
            <v>1.7</v>
          </cell>
          <cell r="N306">
            <v>3.9</v>
          </cell>
          <cell r="O306">
            <v>0.1</v>
          </cell>
          <cell r="P306">
            <v>1.9</v>
          </cell>
          <cell r="R306">
            <v>214</v>
          </cell>
          <cell r="S306">
            <v>0</v>
          </cell>
          <cell r="T306">
            <v>6.75</v>
          </cell>
          <cell r="U306">
            <v>1.05</v>
          </cell>
          <cell r="V306">
            <v>3</v>
          </cell>
          <cell r="W306">
            <v>8.16</v>
          </cell>
          <cell r="X306">
            <v>15</v>
          </cell>
          <cell r="Y306">
            <v>0</v>
          </cell>
        </row>
        <row r="307">
          <cell r="B307" t="str">
            <v>Heu, 2. S.</v>
          </cell>
          <cell r="C307">
            <v>81029</v>
          </cell>
          <cell r="D307">
            <v>2012</v>
          </cell>
          <cell r="E307">
            <v>89.1</v>
          </cell>
          <cell r="F307">
            <v>146</v>
          </cell>
          <cell r="G307">
            <v>309</v>
          </cell>
          <cell r="H307">
            <v>22</v>
          </cell>
          <cell r="I307">
            <v>85</v>
          </cell>
          <cell r="J307">
            <v>316</v>
          </cell>
          <cell r="K307">
            <v>535</v>
          </cell>
          <cell r="L307">
            <v>4.8</v>
          </cell>
          <cell r="M307">
            <v>22</v>
          </cell>
          <cell r="N307">
            <v>4.3</v>
          </cell>
          <cell r="O307">
            <v>3.7</v>
          </cell>
          <cell r="P307">
            <v>2</v>
          </cell>
          <cell r="R307">
            <v>139</v>
          </cell>
          <cell r="S307">
            <v>0</v>
          </cell>
          <cell r="T307">
            <v>5.88</v>
          </cell>
          <cell r="U307">
            <v>3.36</v>
          </cell>
          <cell r="W307">
            <v>1.1200000000000001</v>
          </cell>
          <cell r="X307">
            <v>212</v>
          </cell>
          <cell r="Y307">
            <v>0</v>
          </cell>
        </row>
        <row r="308">
          <cell r="B308" t="str">
            <v>Stroh, Gerste</v>
          </cell>
          <cell r="C308">
            <v>81030</v>
          </cell>
          <cell r="D308">
            <v>2012</v>
          </cell>
          <cell r="E308">
            <v>89</v>
          </cell>
          <cell r="F308">
            <v>29</v>
          </cell>
          <cell r="G308">
            <v>523</v>
          </cell>
          <cell r="H308">
            <v>11</v>
          </cell>
          <cell r="I308">
            <v>52</v>
          </cell>
          <cell r="J308">
            <v>561</v>
          </cell>
          <cell r="K308">
            <v>837</v>
          </cell>
          <cell r="L308">
            <v>0.8</v>
          </cell>
          <cell r="M308">
            <v>16.5</v>
          </cell>
          <cell r="N308">
            <v>3.6</v>
          </cell>
          <cell r="O308">
            <v>0.6</v>
          </cell>
          <cell r="P308">
            <v>0.7</v>
          </cell>
          <cell r="R308">
            <v>73</v>
          </cell>
          <cell r="S308">
            <v>0</v>
          </cell>
          <cell r="T308">
            <v>3.75</v>
          </cell>
          <cell r="W308">
            <v>-7.04</v>
          </cell>
          <cell r="X308">
            <v>71</v>
          </cell>
          <cell r="Y308">
            <v>0</v>
          </cell>
        </row>
        <row r="309">
          <cell r="B309" t="str">
            <v>RES</v>
          </cell>
          <cell r="C309">
            <v>81031</v>
          </cell>
          <cell r="D309">
            <v>2012</v>
          </cell>
          <cell r="E309">
            <v>89</v>
          </cell>
          <cell r="F309">
            <v>390</v>
          </cell>
          <cell r="G309">
            <v>175</v>
          </cell>
          <cell r="H309">
            <v>28</v>
          </cell>
          <cell r="I309">
            <v>83</v>
          </cell>
          <cell r="J309">
            <v>243</v>
          </cell>
          <cell r="K309">
            <v>347</v>
          </cell>
          <cell r="L309">
            <v>16</v>
          </cell>
          <cell r="M309">
            <v>14.5</v>
          </cell>
          <cell r="N309">
            <v>7</v>
          </cell>
          <cell r="O309">
            <v>1.1000000000000001</v>
          </cell>
          <cell r="P309">
            <v>4.7</v>
          </cell>
          <cell r="R309">
            <v>255</v>
          </cell>
          <cell r="S309">
            <v>0</v>
          </cell>
          <cell r="T309">
            <v>7.29</v>
          </cell>
          <cell r="W309">
            <v>21.6</v>
          </cell>
          <cell r="X309">
            <v>152</v>
          </cell>
          <cell r="Y309">
            <v>0</v>
          </cell>
        </row>
        <row r="310">
          <cell r="B310" t="str">
            <v>WGB 43/43/7/5/2</v>
          </cell>
          <cell r="C310">
            <v>81032</v>
          </cell>
          <cell r="D310">
            <v>2013</v>
          </cell>
          <cell r="E310">
            <v>89.1</v>
          </cell>
          <cell r="F310">
            <v>132</v>
          </cell>
          <cell r="G310">
            <v>229</v>
          </cell>
          <cell r="H310">
            <v>17</v>
          </cell>
          <cell r="I310">
            <v>58</v>
          </cell>
          <cell r="J310">
            <v>117</v>
          </cell>
          <cell r="K310">
            <v>406</v>
          </cell>
          <cell r="L310">
            <v>6.4</v>
          </cell>
          <cell r="M310">
            <v>7</v>
          </cell>
          <cell r="N310">
            <v>4.7</v>
          </cell>
          <cell r="O310">
            <v>6.2</v>
          </cell>
          <cell r="P310">
            <v>1.8</v>
          </cell>
          <cell r="R310">
            <v>162</v>
          </cell>
          <cell r="S310">
            <v>0</v>
          </cell>
          <cell r="T310">
            <v>8.02</v>
          </cell>
          <cell r="W310">
            <v>-4.8</v>
          </cell>
          <cell r="X310">
            <v>387</v>
          </cell>
          <cell r="Y310">
            <v>0</v>
          </cell>
        </row>
        <row r="311">
          <cell r="B311" t="str">
            <v>Treber</v>
          </cell>
          <cell r="C311">
            <v>81037</v>
          </cell>
          <cell r="D311">
            <v>2013</v>
          </cell>
          <cell r="E311">
            <v>21.8</v>
          </cell>
          <cell r="F311">
            <v>212</v>
          </cell>
          <cell r="G311">
            <v>268</v>
          </cell>
          <cell r="H311">
            <v>79</v>
          </cell>
          <cell r="I311">
            <v>45</v>
          </cell>
          <cell r="J311">
            <v>323</v>
          </cell>
          <cell r="K311">
            <v>603</v>
          </cell>
          <cell r="L311">
            <v>8.4</v>
          </cell>
          <cell r="M311">
            <v>2.1</v>
          </cell>
          <cell r="N311">
            <v>5.0999999999999996</v>
          </cell>
          <cell r="O311">
            <v>0.3</v>
          </cell>
          <cell r="P311">
            <v>1.9</v>
          </cell>
          <cell r="R311">
            <v>190</v>
          </cell>
          <cell r="S311">
            <v>0</v>
          </cell>
          <cell r="T311">
            <v>6.57</v>
          </cell>
          <cell r="W311">
            <v>3.52</v>
          </cell>
          <cell r="X311">
            <v>61</v>
          </cell>
          <cell r="Y311">
            <v>0</v>
          </cell>
        </row>
        <row r="312">
          <cell r="B312" t="str">
            <v>RB Rohrschwingel 2.Schnitt</v>
          </cell>
          <cell r="C312">
            <v>81038</v>
          </cell>
          <cell r="D312">
            <v>2013</v>
          </cell>
          <cell r="E312">
            <v>59.4</v>
          </cell>
          <cell r="F312">
            <v>185</v>
          </cell>
          <cell r="G312">
            <v>326</v>
          </cell>
          <cell r="H312">
            <v>19</v>
          </cell>
          <cell r="I312">
            <v>121</v>
          </cell>
          <cell r="J312">
            <v>300</v>
          </cell>
          <cell r="K312">
            <v>486</v>
          </cell>
          <cell r="L312">
            <v>6</v>
          </cell>
          <cell r="M312">
            <v>43.3</v>
          </cell>
          <cell r="N312">
            <v>4.0999999999999996</v>
          </cell>
          <cell r="O312">
            <v>0.5</v>
          </cell>
          <cell r="P312">
            <v>2.5</v>
          </cell>
          <cell r="R312">
            <v>138</v>
          </cell>
          <cell r="S312">
            <v>0</v>
          </cell>
          <cell r="T312">
            <v>6.01</v>
          </cell>
          <cell r="U312">
            <v>3.07</v>
          </cell>
          <cell r="W312">
            <v>7.52</v>
          </cell>
          <cell r="X312">
            <v>189</v>
          </cell>
          <cell r="Y312">
            <v>0</v>
          </cell>
        </row>
        <row r="313">
          <cell r="B313" t="str">
            <v xml:space="preserve">RB Dt. Weidelgras 2.Schnitt </v>
          </cell>
          <cell r="C313">
            <v>81039</v>
          </cell>
          <cell r="D313">
            <v>2013</v>
          </cell>
          <cell r="E313">
            <v>45.5</v>
          </cell>
          <cell r="F313">
            <v>156</v>
          </cell>
          <cell r="G313">
            <v>314</v>
          </cell>
          <cell r="H313">
            <v>23</v>
          </cell>
          <cell r="I313">
            <v>99</v>
          </cell>
          <cell r="J313">
            <v>287</v>
          </cell>
          <cell r="K313">
            <v>479</v>
          </cell>
          <cell r="L313">
            <v>6.2</v>
          </cell>
          <cell r="M313">
            <v>35.1</v>
          </cell>
          <cell r="N313">
            <v>4.4000000000000004</v>
          </cell>
          <cell r="O313">
            <v>0.7</v>
          </cell>
          <cell r="P313">
            <v>1.3</v>
          </cell>
          <cell r="R313">
            <v>144</v>
          </cell>
          <cell r="S313">
            <v>0</v>
          </cell>
          <cell r="T313">
            <v>6.65</v>
          </cell>
          <cell r="U313">
            <v>3.02</v>
          </cell>
          <cell r="W313">
            <v>1.92</v>
          </cell>
          <cell r="X313">
            <v>243</v>
          </cell>
          <cell r="Y313">
            <v>0</v>
          </cell>
        </row>
        <row r="314">
          <cell r="B314" t="str">
            <v>Silo 8</v>
          </cell>
          <cell r="C314">
            <v>81040</v>
          </cell>
          <cell r="D314">
            <v>2012</v>
          </cell>
          <cell r="E314">
            <v>38.799999999999997</v>
          </cell>
          <cell r="F314">
            <v>94</v>
          </cell>
          <cell r="G314">
            <v>229</v>
          </cell>
          <cell r="H314">
            <v>44</v>
          </cell>
          <cell r="I314">
            <v>39</v>
          </cell>
          <cell r="J314">
            <v>209</v>
          </cell>
          <cell r="K314">
            <v>363</v>
          </cell>
          <cell r="L314">
            <v>3.5</v>
          </cell>
          <cell r="M314">
            <v>10.8</v>
          </cell>
          <cell r="N314">
            <v>2.2000000000000002</v>
          </cell>
          <cell r="O314">
            <v>0.1</v>
          </cell>
          <cell r="P314">
            <v>1.2</v>
          </cell>
          <cell r="R314">
            <v>147</v>
          </cell>
          <cell r="S314">
            <v>0</v>
          </cell>
          <cell r="T314">
            <v>7.41</v>
          </cell>
          <cell r="U314">
            <v>1.61</v>
          </cell>
          <cell r="V314">
            <v>3</v>
          </cell>
          <cell r="W314">
            <v>-8.48</v>
          </cell>
          <cell r="X314">
            <v>460</v>
          </cell>
          <cell r="Y314">
            <v>0</v>
          </cell>
        </row>
        <row r="315">
          <cell r="B315" t="str">
            <v>Silo 7</v>
          </cell>
          <cell r="C315">
            <v>81041</v>
          </cell>
          <cell r="D315">
            <v>2012</v>
          </cell>
          <cell r="E315">
            <v>31</v>
          </cell>
          <cell r="F315">
            <v>102</v>
          </cell>
          <cell r="G315">
            <v>332</v>
          </cell>
          <cell r="H315">
            <v>23</v>
          </cell>
          <cell r="I315">
            <v>90</v>
          </cell>
          <cell r="J315">
            <v>344</v>
          </cell>
          <cell r="K315">
            <v>544</v>
          </cell>
          <cell r="L315">
            <v>4.2</v>
          </cell>
          <cell r="M315">
            <v>24.1</v>
          </cell>
          <cell r="N315">
            <v>6.2</v>
          </cell>
          <cell r="O315">
            <v>1</v>
          </cell>
          <cell r="P315">
            <v>1.7</v>
          </cell>
          <cell r="R315">
            <v>114</v>
          </cell>
          <cell r="S315">
            <v>0</v>
          </cell>
          <cell r="T315">
            <v>5.27</v>
          </cell>
          <cell r="U315">
            <v>3.42</v>
          </cell>
          <cell r="V315">
            <v>1</v>
          </cell>
          <cell r="W315">
            <v>-1.92</v>
          </cell>
          <cell r="X315">
            <v>241</v>
          </cell>
          <cell r="Y315">
            <v>0</v>
          </cell>
        </row>
        <row r="316">
          <cell r="B316" t="str">
            <v>Treber</v>
          </cell>
          <cell r="C316">
            <v>81042</v>
          </cell>
          <cell r="D316">
            <v>2013</v>
          </cell>
          <cell r="E316">
            <v>21.3</v>
          </cell>
          <cell r="F316">
            <v>283</v>
          </cell>
          <cell r="G316">
            <v>246</v>
          </cell>
          <cell r="H316">
            <v>103</v>
          </cell>
          <cell r="I316">
            <v>52</v>
          </cell>
          <cell r="J316">
            <v>329</v>
          </cell>
          <cell r="K316">
            <v>562</v>
          </cell>
          <cell r="L316">
            <v>10.6</v>
          </cell>
          <cell r="M316">
            <v>1</v>
          </cell>
          <cell r="N316">
            <v>5.8</v>
          </cell>
          <cell r="O316">
            <v>0.2</v>
          </cell>
          <cell r="P316">
            <v>2.8</v>
          </cell>
          <cell r="R316">
            <v>223</v>
          </cell>
          <cell r="S316">
            <v>0</v>
          </cell>
          <cell r="T316">
            <v>6.86</v>
          </cell>
          <cell r="V316">
            <v>2</v>
          </cell>
          <cell r="W316">
            <v>9.6</v>
          </cell>
          <cell r="X316">
            <v>0</v>
          </cell>
          <cell r="Y316">
            <v>0</v>
          </cell>
        </row>
        <row r="317">
          <cell r="B317" t="str">
            <v>Heu, 2. S.</v>
          </cell>
          <cell r="C317">
            <v>81043</v>
          </cell>
          <cell r="D317">
            <v>2012</v>
          </cell>
          <cell r="E317">
            <v>90.8</v>
          </cell>
          <cell r="F317">
            <v>129</v>
          </cell>
          <cell r="G317">
            <v>366</v>
          </cell>
          <cell r="H317">
            <v>16</v>
          </cell>
          <cell r="I317">
            <v>81</v>
          </cell>
          <cell r="J317">
            <v>335</v>
          </cell>
          <cell r="K317">
            <v>546</v>
          </cell>
          <cell r="L317">
            <v>4.4000000000000004</v>
          </cell>
          <cell r="M317">
            <v>22.5</v>
          </cell>
          <cell r="N317">
            <v>4.2</v>
          </cell>
          <cell r="O317">
            <v>3.3</v>
          </cell>
          <cell r="P317">
            <v>2.1</v>
          </cell>
          <cell r="R317">
            <v>129</v>
          </cell>
          <cell r="S317">
            <v>0</v>
          </cell>
          <cell r="T317">
            <v>5.49</v>
          </cell>
          <cell r="U317">
            <v>3.43</v>
          </cell>
          <cell r="W317">
            <v>0</v>
          </cell>
          <cell r="X317">
            <v>228</v>
          </cell>
          <cell r="Y317">
            <v>0</v>
          </cell>
        </row>
        <row r="318">
          <cell r="B318" t="str">
            <v>Stroh, Gerste</v>
          </cell>
          <cell r="C318">
            <v>81044</v>
          </cell>
          <cell r="D318">
            <v>2012</v>
          </cell>
          <cell r="E318">
            <v>91.2</v>
          </cell>
          <cell r="F318">
            <v>29</v>
          </cell>
          <cell r="G318">
            <v>521</v>
          </cell>
          <cell r="H318">
            <v>11</v>
          </cell>
          <cell r="I318">
            <v>45</v>
          </cell>
          <cell r="J318">
            <v>553</v>
          </cell>
          <cell r="K318">
            <v>844</v>
          </cell>
          <cell r="L318">
            <v>0.7</v>
          </cell>
          <cell r="M318">
            <v>15.7</v>
          </cell>
          <cell r="N318">
            <v>2.5</v>
          </cell>
          <cell r="O318">
            <v>0.2</v>
          </cell>
          <cell r="P318">
            <v>0.3</v>
          </cell>
          <cell r="R318">
            <v>74</v>
          </cell>
          <cell r="S318">
            <v>0</v>
          </cell>
          <cell r="T318">
            <v>3.78</v>
          </cell>
          <cell r="W318">
            <v>-7.2</v>
          </cell>
          <cell r="X318">
            <v>71</v>
          </cell>
          <cell r="Y318">
            <v>0</v>
          </cell>
        </row>
        <row r="319">
          <cell r="B319" t="str">
            <v>RES</v>
          </cell>
          <cell r="C319">
            <v>81045</v>
          </cell>
          <cell r="D319">
            <v>2013</v>
          </cell>
          <cell r="E319">
            <v>89.3</v>
          </cell>
          <cell r="F319">
            <v>396</v>
          </cell>
          <cell r="G319">
            <v>165</v>
          </cell>
          <cell r="H319">
            <v>24</v>
          </cell>
          <cell r="I319">
            <v>78</v>
          </cell>
          <cell r="J319">
            <v>241</v>
          </cell>
          <cell r="K319">
            <v>322</v>
          </cell>
          <cell r="L319">
            <v>16.2</v>
          </cell>
          <cell r="M319">
            <v>14.3</v>
          </cell>
          <cell r="N319">
            <v>8</v>
          </cell>
          <cell r="O319">
            <v>1</v>
          </cell>
          <cell r="P319">
            <v>5.4</v>
          </cell>
          <cell r="R319">
            <v>257</v>
          </cell>
          <cell r="S319">
            <v>0</v>
          </cell>
          <cell r="T319">
            <v>7.31</v>
          </cell>
          <cell r="W319">
            <v>22.24</v>
          </cell>
          <cell r="X319">
            <v>180</v>
          </cell>
          <cell r="Y319">
            <v>0</v>
          </cell>
        </row>
        <row r="320">
          <cell r="B320" t="str">
            <v>WGB 60/26/7/5/2</v>
          </cell>
          <cell r="C320">
            <v>81046</v>
          </cell>
          <cell r="D320">
            <v>2013</v>
          </cell>
          <cell r="E320">
            <v>90</v>
          </cell>
          <cell r="F320">
            <v>131</v>
          </cell>
          <cell r="G320">
            <v>210</v>
          </cell>
          <cell r="H320">
            <v>15</v>
          </cell>
          <cell r="I320">
            <v>71</v>
          </cell>
          <cell r="J320">
            <v>90</v>
          </cell>
          <cell r="K320">
            <v>368</v>
          </cell>
          <cell r="L320">
            <v>7.1</v>
          </cell>
          <cell r="M320">
            <v>5.9</v>
          </cell>
          <cell r="N320">
            <v>8.4</v>
          </cell>
          <cell r="O320">
            <v>9.6</v>
          </cell>
          <cell r="P320">
            <v>2.2000000000000002</v>
          </cell>
          <cell r="R320">
            <v>161</v>
          </cell>
          <cell r="S320">
            <v>0</v>
          </cell>
          <cell r="T320">
            <v>8.0399999999999991</v>
          </cell>
          <cell r="W320">
            <v>-4.8</v>
          </cell>
          <cell r="X320">
            <v>415</v>
          </cell>
          <cell r="Y320">
            <v>0</v>
          </cell>
        </row>
        <row r="321">
          <cell r="B321" t="str">
            <v>Silo 8</v>
          </cell>
          <cell r="C321">
            <v>81057</v>
          </cell>
          <cell r="D321">
            <v>2012</v>
          </cell>
          <cell r="E321">
            <v>38.6</v>
          </cell>
          <cell r="F321">
            <v>76</v>
          </cell>
          <cell r="G321">
            <v>191</v>
          </cell>
          <cell r="H321">
            <v>39</v>
          </cell>
          <cell r="I321">
            <v>34</v>
          </cell>
          <cell r="J321">
            <v>203</v>
          </cell>
          <cell r="K321">
            <v>389</v>
          </cell>
          <cell r="L321">
            <v>2.8</v>
          </cell>
          <cell r="M321">
            <v>9.8000000000000007</v>
          </cell>
          <cell r="N321">
            <v>1.7</v>
          </cell>
          <cell r="O321">
            <v>0.1</v>
          </cell>
          <cell r="P321">
            <v>0.9</v>
          </cell>
          <cell r="R321">
            <v>140</v>
          </cell>
          <cell r="S321">
            <v>0</v>
          </cell>
          <cell r="T321">
            <v>7.2</v>
          </cell>
          <cell r="U321">
            <v>1.76</v>
          </cell>
          <cell r="V321">
            <v>4</v>
          </cell>
          <cell r="W321">
            <v>-10.24</v>
          </cell>
          <cell r="X321">
            <v>462</v>
          </cell>
          <cell r="Y321">
            <v>0</v>
          </cell>
        </row>
        <row r="322">
          <cell r="B322" t="str">
            <v>Silo 7</v>
          </cell>
          <cell r="C322">
            <v>81058</v>
          </cell>
          <cell r="D322">
            <v>2012</v>
          </cell>
          <cell r="E322">
            <v>30.5</v>
          </cell>
          <cell r="F322">
            <v>169</v>
          </cell>
          <cell r="G322">
            <v>283</v>
          </cell>
          <cell r="H322">
            <v>36</v>
          </cell>
          <cell r="I322">
            <v>113</v>
          </cell>
          <cell r="J322">
            <v>291</v>
          </cell>
          <cell r="K322">
            <v>534</v>
          </cell>
          <cell r="L322">
            <v>4.9000000000000004</v>
          </cell>
          <cell r="M322">
            <v>30.7</v>
          </cell>
          <cell r="N322">
            <v>6</v>
          </cell>
          <cell r="O322">
            <v>1.5</v>
          </cell>
          <cell r="P322">
            <v>2</v>
          </cell>
          <cell r="R322">
            <v>139</v>
          </cell>
          <cell r="S322">
            <v>0</v>
          </cell>
          <cell r="T322">
            <v>6.25</v>
          </cell>
          <cell r="U322">
            <v>3.35</v>
          </cell>
          <cell r="V322">
            <v>14</v>
          </cell>
          <cell r="W322">
            <v>4.8</v>
          </cell>
          <cell r="X322">
            <v>148</v>
          </cell>
          <cell r="Y322">
            <v>0</v>
          </cell>
        </row>
        <row r="323">
          <cell r="B323" t="str">
            <v>Treber</v>
          </cell>
          <cell r="C323">
            <v>81059</v>
          </cell>
          <cell r="D323">
            <v>2013</v>
          </cell>
          <cell r="E323">
            <v>21.5</v>
          </cell>
          <cell r="F323">
            <v>221</v>
          </cell>
          <cell r="G323">
            <v>235</v>
          </cell>
          <cell r="H323">
            <v>84</v>
          </cell>
          <cell r="I323">
            <v>42</v>
          </cell>
          <cell r="J323">
            <v>324</v>
          </cell>
          <cell r="K323">
            <v>599</v>
          </cell>
          <cell r="L323">
            <v>7.9</v>
          </cell>
          <cell r="M323">
            <v>1.4</v>
          </cell>
          <cell r="N323">
            <v>4.3</v>
          </cell>
          <cell r="O323">
            <v>0.1</v>
          </cell>
          <cell r="P323">
            <v>1.9</v>
          </cell>
          <cell r="R323">
            <v>194</v>
          </cell>
          <cell r="S323">
            <v>0</v>
          </cell>
          <cell r="T323">
            <v>6.67</v>
          </cell>
          <cell r="V323">
            <v>1</v>
          </cell>
          <cell r="W323">
            <v>4.32</v>
          </cell>
          <cell r="X323">
            <v>54</v>
          </cell>
          <cell r="Y323">
            <v>0</v>
          </cell>
        </row>
        <row r="324">
          <cell r="B324" t="str">
            <v>Heu, 2. S.</v>
          </cell>
          <cell r="C324">
            <v>81060</v>
          </cell>
          <cell r="D324">
            <v>2012</v>
          </cell>
          <cell r="E324">
            <v>91.9</v>
          </cell>
          <cell r="F324">
            <v>119</v>
          </cell>
          <cell r="G324">
            <v>329</v>
          </cell>
          <cell r="H324">
            <v>20</v>
          </cell>
          <cell r="I324">
            <v>78</v>
          </cell>
          <cell r="J324">
            <v>324</v>
          </cell>
          <cell r="K324">
            <v>535</v>
          </cell>
          <cell r="L324">
            <v>4.8</v>
          </cell>
          <cell r="M324">
            <v>22.4</v>
          </cell>
          <cell r="N324">
            <v>5</v>
          </cell>
          <cell r="O324">
            <v>1.3</v>
          </cell>
          <cell r="P324">
            <v>2</v>
          </cell>
          <cell r="R324">
            <v>129</v>
          </cell>
          <cell r="S324">
            <v>0</v>
          </cell>
          <cell r="T324">
            <v>5.68</v>
          </cell>
          <cell r="U324">
            <v>3.36</v>
          </cell>
          <cell r="W324">
            <v>-1.6</v>
          </cell>
          <cell r="X324">
            <v>248</v>
          </cell>
          <cell r="Y324">
            <v>0</v>
          </cell>
        </row>
        <row r="325">
          <cell r="B325" t="str">
            <v>Stroh, Gerste</v>
          </cell>
          <cell r="C325">
            <v>81061</v>
          </cell>
          <cell r="D325">
            <v>2012</v>
          </cell>
          <cell r="E325">
            <v>91.3</v>
          </cell>
          <cell r="F325">
            <v>34</v>
          </cell>
          <cell r="G325">
            <v>471</v>
          </cell>
          <cell r="H325">
            <v>14</v>
          </cell>
          <cell r="I325">
            <v>63</v>
          </cell>
          <cell r="J325">
            <v>506</v>
          </cell>
          <cell r="K325">
            <v>791</v>
          </cell>
          <cell r="L325">
            <v>1</v>
          </cell>
          <cell r="M325">
            <v>19.2</v>
          </cell>
          <cell r="N325">
            <v>5.0999999999999996</v>
          </cell>
          <cell r="O325">
            <v>0.4</v>
          </cell>
          <cell r="P325">
            <v>0.4</v>
          </cell>
          <cell r="R325">
            <v>76</v>
          </cell>
          <cell r="S325">
            <v>0</v>
          </cell>
          <cell r="T325">
            <v>3.75</v>
          </cell>
          <cell r="W325">
            <v>-6.72</v>
          </cell>
          <cell r="X325">
            <v>98</v>
          </cell>
          <cell r="Y325">
            <v>0</v>
          </cell>
        </row>
        <row r="326">
          <cell r="B326" t="str">
            <v>RES</v>
          </cell>
          <cell r="C326">
            <v>81062</v>
          </cell>
          <cell r="D326">
            <v>2013</v>
          </cell>
          <cell r="E326">
            <v>89.7</v>
          </cell>
          <cell r="F326">
            <v>391</v>
          </cell>
          <cell r="G326">
            <v>160</v>
          </cell>
          <cell r="H326">
            <v>23</v>
          </cell>
          <cell r="I326">
            <v>75</v>
          </cell>
          <cell r="J326">
            <v>254</v>
          </cell>
          <cell r="K326">
            <v>345</v>
          </cell>
          <cell r="L326">
            <v>15.3</v>
          </cell>
          <cell r="M326">
            <v>14.9</v>
          </cell>
          <cell r="N326">
            <v>8</v>
          </cell>
          <cell r="O326">
            <v>1</v>
          </cell>
          <cell r="P326">
            <v>5.5</v>
          </cell>
          <cell r="R326">
            <v>255</v>
          </cell>
          <cell r="S326">
            <v>0</v>
          </cell>
          <cell r="T326">
            <v>7.32</v>
          </cell>
          <cell r="W326">
            <v>21.76</v>
          </cell>
          <cell r="X326">
            <v>166</v>
          </cell>
          <cell r="Y326">
            <v>0</v>
          </cell>
        </row>
        <row r="327">
          <cell r="B327" t="str">
            <v>WGB 60/26/7/5/2</v>
          </cell>
          <cell r="C327">
            <v>81063</v>
          </cell>
          <cell r="D327">
            <v>2013</v>
          </cell>
          <cell r="E327">
            <v>90.3</v>
          </cell>
          <cell r="F327">
            <v>133</v>
          </cell>
          <cell r="G327">
            <v>219</v>
          </cell>
          <cell r="H327">
            <v>16</v>
          </cell>
          <cell r="I327">
            <v>109</v>
          </cell>
          <cell r="J327">
            <v>87</v>
          </cell>
          <cell r="K327">
            <v>420</v>
          </cell>
          <cell r="L327">
            <v>8.1999999999999993</v>
          </cell>
          <cell r="M327">
            <v>7.1</v>
          </cell>
          <cell r="N327">
            <v>18.8</v>
          </cell>
          <cell r="O327">
            <v>10.7</v>
          </cell>
          <cell r="P327">
            <v>3.4</v>
          </cell>
          <cell r="R327">
            <v>156</v>
          </cell>
          <cell r="S327">
            <v>0</v>
          </cell>
          <cell r="T327">
            <v>7.69</v>
          </cell>
          <cell r="W327">
            <v>-3.68</v>
          </cell>
          <cell r="X327">
            <v>322</v>
          </cell>
          <cell r="Y327">
            <v>0</v>
          </cell>
        </row>
        <row r="328">
          <cell r="B328" t="str">
            <v>Treber</v>
          </cell>
          <cell r="C328">
            <v>81066</v>
          </cell>
          <cell r="D328">
            <v>2013</v>
          </cell>
          <cell r="E328">
            <v>24</v>
          </cell>
          <cell r="F328">
            <v>243</v>
          </cell>
          <cell r="G328">
            <v>224</v>
          </cell>
          <cell r="H328">
            <v>92</v>
          </cell>
          <cell r="I328">
            <v>45</v>
          </cell>
          <cell r="J328">
            <v>338</v>
          </cell>
          <cell r="K328">
            <v>615</v>
          </cell>
          <cell r="L328">
            <v>9.6</v>
          </cell>
          <cell r="M328">
            <v>1.8</v>
          </cell>
          <cell r="N328">
            <v>5.7</v>
          </cell>
          <cell r="O328">
            <v>0.2</v>
          </cell>
          <cell r="P328">
            <v>1.9</v>
          </cell>
          <cell r="R328">
            <v>205</v>
          </cell>
          <cell r="S328">
            <v>0</v>
          </cell>
          <cell r="T328">
            <v>6.76</v>
          </cell>
          <cell r="W328">
            <v>6.08</v>
          </cell>
          <cell r="X328">
            <v>5</v>
          </cell>
          <cell r="Y328">
            <v>0</v>
          </cell>
        </row>
        <row r="329">
          <cell r="B329" t="str">
            <v>Silo 8</v>
          </cell>
          <cell r="C329">
            <v>81069</v>
          </cell>
          <cell r="D329">
            <v>2012</v>
          </cell>
          <cell r="E329">
            <v>38.299999999999997</v>
          </cell>
          <cell r="F329">
            <v>93</v>
          </cell>
          <cell r="G329">
            <v>193</v>
          </cell>
          <cell r="H329">
            <v>47</v>
          </cell>
          <cell r="I329">
            <v>35</v>
          </cell>
          <cell r="J329">
            <v>210</v>
          </cell>
          <cell r="K329">
            <v>396</v>
          </cell>
          <cell r="L329">
            <v>3.4</v>
          </cell>
          <cell r="M329">
            <v>9.5</v>
          </cell>
          <cell r="N329">
            <v>2.2999999999999998</v>
          </cell>
          <cell r="O329">
            <v>0.2</v>
          </cell>
          <cell r="P329">
            <v>1.2</v>
          </cell>
          <cell r="R329">
            <v>147</v>
          </cell>
          <cell r="S329">
            <v>0</v>
          </cell>
          <cell r="T329">
            <v>6.63</v>
          </cell>
          <cell r="U329">
            <v>1.8</v>
          </cell>
          <cell r="V329">
            <v>6</v>
          </cell>
          <cell r="W329">
            <v>-8.64</v>
          </cell>
          <cell r="X329">
            <v>429</v>
          </cell>
          <cell r="Y329">
            <v>0</v>
          </cell>
        </row>
        <row r="330">
          <cell r="B330" t="str">
            <v>Silo 7</v>
          </cell>
          <cell r="C330">
            <v>81070</v>
          </cell>
          <cell r="D330">
            <v>2012</v>
          </cell>
          <cell r="E330">
            <v>30.9</v>
          </cell>
          <cell r="F330">
            <v>182</v>
          </cell>
          <cell r="G330">
            <v>282</v>
          </cell>
          <cell r="H330">
            <v>32</v>
          </cell>
          <cell r="I330">
            <v>119</v>
          </cell>
          <cell r="J330">
            <v>293</v>
          </cell>
          <cell r="K330">
            <v>562</v>
          </cell>
          <cell r="L330">
            <v>4.9000000000000004</v>
          </cell>
          <cell r="M330">
            <v>34.200000000000003</v>
          </cell>
          <cell r="N330">
            <v>8</v>
          </cell>
          <cell r="O330">
            <v>2.6</v>
          </cell>
          <cell r="P330">
            <v>2.4</v>
          </cell>
          <cell r="R330">
            <v>140</v>
          </cell>
          <cell r="S330">
            <v>0</v>
          </cell>
          <cell r="T330">
            <v>6.14</v>
          </cell>
          <cell r="U330">
            <v>3.52</v>
          </cell>
          <cell r="V330">
            <v>11</v>
          </cell>
          <cell r="W330">
            <v>6.72</v>
          </cell>
          <cell r="X330">
            <v>105</v>
          </cell>
          <cell r="Y330">
            <v>0</v>
          </cell>
        </row>
        <row r="331">
          <cell r="B331" t="str">
            <v>Treber</v>
          </cell>
          <cell r="C331">
            <v>81071</v>
          </cell>
          <cell r="D331">
            <v>2013</v>
          </cell>
          <cell r="E331">
            <v>21.5</v>
          </cell>
          <cell r="F331">
            <v>236</v>
          </cell>
          <cell r="G331">
            <v>219</v>
          </cell>
          <cell r="H331">
            <v>88</v>
          </cell>
          <cell r="I331">
            <v>46</v>
          </cell>
          <cell r="J331">
            <v>322</v>
          </cell>
          <cell r="K331">
            <v>622</v>
          </cell>
          <cell r="L331">
            <v>8.1</v>
          </cell>
          <cell r="M331">
            <v>2.1</v>
          </cell>
          <cell r="N331">
            <v>4.8</v>
          </cell>
          <cell r="O331">
            <v>0.5</v>
          </cell>
          <cell r="P331">
            <v>1.9</v>
          </cell>
          <cell r="R331">
            <v>201</v>
          </cell>
          <cell r="S331">
            <v>0</v>
          </cell>
          <cell r="T331">
            <v>6.71</v>
          </cell>
          <cell r="V331">
            <v>0</v>
          </cell>
          <cell r="W331">
            <v>5.6</v>
          </cell>
          <cell r="X331">
            <v>8</v>
          </cell>
          <cell r="Y331">
            <v>0</v>
          </cell>
        </row>
        <row r="332">
          <cell r="B332" t="str">
            <v>Heu, 2. S.</v>
          </cell>
          <cell r="C332">
            <v>81072</v>
          </cell>
          <cell r="D332">
            <v>2012</v>
          </cell>
          <cell r="E332">
            <v>89.7</v>
          </cell>
          <cell r="F332">
            <v>124</v>
          </cell>
          <cell r="G332">
            <v>332</v>
          </cell>
          <cell r="H332">
            <v>19</v>
          </cell>
          <cell r="I332">
            <v>76</v>
          </cell>
          <cell r="J332">
            <v>318</v>
          </cell>
          <cell r="K332">
            <v>541</v>
          </cell>
          <cell r="L332">
            <v>4.5999999999999996</v>
          </cell>
          <cell r="M332">
            <v>20.399999999999999</v>
          </cell>
          <cell r="N332">
            <v>5</v>
          </cell>
          <cell r="O332">
            <v>1.3</v>
          </cell>
          <cell r="P332">
            <v>1.9</v>
          </cell>
          <cell r="R332">
            <v>130</v>
          </cell>
          <cell r="S332">
            <v>0</v>
          </cell>
          <cell r="T332">
            <v>5.61</v>
          </cell>
          <cell r="U332">
            <v>3.39</v>
          </cell>
          <cell r="W332">
            <v>-0.96</v>
          </cell>
          <cell r="X332">
            <v>240</v>
          </cell>
          <cell r="Y332">
            <v>0</v>
          </cell>
        </row>
        <row r="333">
          <cell r="B333" t="str">
            <v>Stroh, Gerste</v>
          </cell>
          <cell r="C333">
            <v>81073</v>
          </cell>
          <cell r="D333">
            <v>2012</v>
          </cell>
          <cell r="E333">
            <v>91</v>
          </cell>
          <cell r="F333">
            <v>24</v>
          </cell>
          <cell r="G333">
            <v>490</v>
          </cell>
          <cell r="H333">
            <v>11</v>
          </cell>
          <cell r="I333">
            <v>45</v>
          </cell>
          <cell r="J333">
            <v>552</v>
          </cell>
          <cell r="K333">
            <v>834</v>
          </cell>
          <cell r="L333">
            <v>0.9</v>
          </cell>
          <cell r="M333">
            <v>13.6</v>
          </cell>
          <cell r="N333">
            <v>3.3</v>
          </cell>
          <cell r="O333">
            <v>0.2</v>
          </cell>
          <cell r="P333">
            <v>0.5</v>
          </cell>
          <cell r="R333">
            <v>72</v>
          </cell>
          <cell r="S333">
            <v>0</v>
          </cell>
          <cell r="T333">
            <v>3.79</v>
          </cell>
          <cell r="W333">
            <v>-7.68</v>
          </cell>
          <cell r="X333">
            <v>86</v>
          </cell>
          <cell r="Y333">
            <v>0</v>
          </cell>
        </row>
        <row r="334">
          <cell r="B334" t="str">
            <v>RES</v>
          </cell>
          <cell r="C334">
            <v>81074</v>
          </cell>
          <cell r="D334">
            <v>2013</v>
          </cell>
          <cell r="E334">
            <v>88.8</v>
          </cell>
          <cell r="F334">
            <v>390</v>
          </cell>
          <cell r="G334">
            <v>159</v>
          </cell>
          <cell r="H334">
            <v>17</v>
          </cell>
          <cell r="I334">
            <v>77</v>
          </cell>
          <cell r="J334">
            <v>251</v>
          </cell>
          <cell r="K334">
            <v>326</v>
          </cell>
          <cell r="L334">
            <v>16.2</v>
          </cell>
          <cell r="M334">
            <v>14.4</v>
          </cell>
          <cell r="N334">
            <v>8.4</v>
          </cell>
          <cell r="O334">
            <v>0.5</v>
          </cell>
          <cell r="P334">
            <v>4.5999999999999996</v>
          </cell>
          <cell r="R334">
            <v>254</v>
          </cell>
          <cell r="S334">
            <v>0</v>
          </cell>
          <cell r="T334">
            <v>7.26</v>
          </cell>
          <cell r="W334">
            <v>21.76</v>
          </cell>
          <cell r="X334">
            <v>190</v>
          </cell>
          <cell r="Y334">
            <v>0</v>
          </cell>
        </row>
        <row r="335">
          <cell r="B335" t="str">
            <v>WGB 60/26/7/5/2</v>
          </cell>
          <cell r="C335">
            <v>81075</v>
          </cell>
          <cell r="D335">
            <v>2013</v>
          </cell>
          <cell r="E335">
            <v>89.2</v>
          </cell>
          <cell r="F335">
            <v>133</v>
          </cell>
          <cell r="G335">
            <v>221</v>
          </cell>
          <cell r="H335">
            <v>19</v>
          </cell>
          <cell r="I335">
            <v>76</v>
          </cell>
          <cell r="J335">
            <v>111</v>
          </cell>
          <cell r="K335">
            <v>386</v>
          </cell>
          <cell r="L335">
            <v>7.4</v>
          </cell>
          <cell r="M335">
            <v>7.5</v>
          </cell>
          <cell r="N335">
            <v>8.9</v>
          </cell>
          <cell r="O335">
            <v>8.9</v>
          </cell>
          <cell r="P335">
            <v>2.4</v>
          </cell>
          <cell r="R335">
            <v>160</v>
          </cell>
          <cell r="S335">
            <v>0</v>
          </cell>
          <cell r="T335">
            <v>7.87</v>
          </cell>
          <cell r="W335">
            <v>-4.32</v>
          </cell>
          <cell r="X335">
            <v>386</v>
          </cell>
          <cell r="Y335">
            <v>0</v>
          </cell>
        </row>
        <row r="336">
          <cell r="B336" t="str">
            <v>Silo 8</v>
          </cell>
          <cell r="C336">
            <v>81080</v>
          </cell>
          <cell r="D336">
            <v>2012</v>
          </cell>
          <cell r="E336">
            <v>38.5</v>
          </cell>
          <cell r="F336">
            <v>76</v>
          </cell>
          <cell r="G336">
            <v>198</v>
          </cell>
          <cell r="H336">
            <v>37</v>
          </cell>
          <cell r="I336">
            <v>39</v>
          </cell>
          <cell r="J336">
            <v>192</v>
          </cell>
          <cell r="K336">
            <v>390</v>
          </cell>
          <cell r="L336">
            <v>2.9</v>
          </cell>
          <cell r="M336">
            <v>10.4</v>
          </cell>
          <cell r="N336">
            <v>2.2000000000000002</v>
          </cell>
          <cell r="O336">
            <v>0.1</v>
          </cell>
          <cell r="P336">
            <v>1</v>
          </cell>
          <cell r="R336">
            <v>140</v>
          </cell>
          <cell r="S336">
            <v>0</v>
          </cell>
          <cell r="T336">
            <v>7.27</v>
          </cell>
          <cell r="U336">
            <v>1.77</v>
          </cell>
          <cell r="V336">
            <v>3</v>
          </cell>
          <cell r="W336">
            <v>-10.24</v>
          </cell>
          <cell r="X336">
            <v>458</v>
          </cell>
          <cell r="Y336">
            <v>0</v>
          </cell>
        </row>
        <row r="337">
          <cell r="B337" t="str">
            <v>Silo 7</v>
          </cell>
          <cell r="C337">
            <v>81081</v>
          </cell>
          <cell r="D337">
            <v>2012</v>
          </cell>
          <cell r="E337">
            <v>31.5</v>
          </cell>
          <cell r="F337">
            <v>187</v>
          </cell>
          <cell r="G337">
            <v>294</v>
          </cell>
          <cell r="H337">
            <v>34</v>
          </cell>
          <cell r="I337">
            <v>121</v>
          </cell>
          <cell r="J337">
            <v>288</v>
          </cell>
          <cell r="K337">
            <v>505</v>
          </cell>
          <cell r="L337">
            <v>4.9000000000000004</v>
          </cell>
          <cell r="M337">
            <v>32.299999999999997</v>
          </cell>
          <cell r="N337">
            <v>6.6</v>
          </cell>
          <cell r="O337">
            <v>3</v>
          </cell>
          <cell r="P337">
            <v>2.2999999999999998</v>
          </cell>
          <cell r="R337">
            <v>143</v>
          </cell>
          <cell r="S337">
            <v>0</v>
          </cell>
          <cell r="T337">
            <v>6.31</v>
          </cell>
          <cell r="U337">
            <v>3.18</v>
          </cell>
          <cell r="V337">
            <v>24</v>
          </cell>
          <cell r="W337">
            <v>7.04</v>
          </cell>
          <cell r="X337">
            <v>153</v>
          </cell>
          <cell r="Y337">
            <v>0</v>
          </cell>
        </row>
        <row r="338">
          <cell r="B338" t="str">
            <v>Treber</v>
          </cell>
          <cell r="C338">
            <v>81082</v>
          </cell>
          <cell r="D338">
            <v>2013</v>
          </cell>
          <cell r="E338">
            <v>21.7</v>
          </cell>
          <cell r="F338">
            <v>227</v>
          </cell>
          <cell r="G338">
            <v>209</v>
          </cell>
          <cell r="H338">
            <v>90</v>
          </cell>
          <cell r="I338">
            <v>48</v>
          </cell>
          <cell r="J338">
            <v>303</v>
          </cell>
          <cell r="K338">
            <v>580</v>
          </cell>
          <cell r="L338">
            <v>6.9</v>
          </cell>
          <cell r="M338">
            <v>2.8</v>
          </cell>
          <cell r="N338">
            <v>3.6</v>
          </cell>
          <cell r="O338">
            <v>0.2</v>
          </cell>
          <cell r="P338">
            <v>1.5</v>
          </cell>
          <cell r="R338">
            <v>197</v>
          </cell>
          <cell r="S338">
            <v>0</v>
          </cell>
          <cell r="T338">
            <v>6.71</v>
          </cell>
          <cell r="V338">
            <v>2</v>
          </cell>
          <cell r="W338">
            <v>4.8</v>
          </cell>
          <cell r="X338">
            <v>55</v>
          </cell>
          <cell r="Y338">
            <v>0</v>
          </cell>
        </row>
        <row r="339">
          <cell r="B339" t="str">
            <v>Heu, 2. S.</v>
          </cell>
          <cell r="C339">
            <v>81083</v>
          </cell>
          <cell r="D339">
            <v>2012</v>
          </cell>
          <cell r="E339">
            <v>91.5</v>
          </cell>
          <cell r="F339">
            <v>137</v>
          </cell>
          <cell r="G339">
            <v>323</v>
          </cell>
          <cell r="H339">
            <v>20</v>
          </cell>
          <cell r="I339">
            <v>87</v>
          </cell>
          <cell r="J339">
            <v>319</v>
          </cell>
          <cell r="K339">
            <v>536</v>
          </cell>
          <cell r="L339">
            <v>4.5999999999999996</v>
          </cell>
          <cell r="M339">
            <v>21.5</v>
          </cell>
          <cell r="N339">
            <v>4.9000000000000004</v>
          </cell>
          <cell r="O339">
            <v>2.8</v>
          </cell>
          <cell r="P339">
            <v>2</v>
          </cell>
          <cell r="R339">
            <v>134</v>
          </cell>
          <cell r="S339">
            <v>0</v>
          </cell>
          <cell r="T339">
            <v>5.67</v>
          </cell>
          <cell r="U339">
            <v>3.37</v>
          </cell>
          <cell r="W339">
            <v>0.48</v>
          </cell>
          <cell r="X339">
            <v>220</v>
          </cell>
          <cell r="Y339">
            <v>0</v>
          </cell>
        </row>
        <row r="340">
          <cell r="B340" t="str">
            <v>Stroh, Gerste</v>
          </cell>
          <cell r="C340">
            <v>81084</v>
          </cell>
          <cell r="D340">
            <v>2012</v>
          </cell>
          <cell r="E340">
            <v>91.3</v>
          </cell>
          <cell r="F340">
            <v>25</v>
          </cell>
          <cell r="G340">
            <v>479</v>
          </cell>
          <cell r="H340">
            <v>12</v>
          </cell>
          <cell r="I340">
            <v>51</v>
          </cell>
          <cell r="J340">
            <v>557</v>
          </cell>
          <cell r="K340">
            <v>816</v>
          </cell>
          <cell r="L340">
            <v>0.9</v>
          </cell>
          <cell r="M340">
            <v>14.6</v>
          </cell>
          <cell r="N340">
            <v>3.4</v>
          </cell>
          <cell r="O340">
            <v>0.1</v>
          </cell>
          <cell r="P340">
            <v>0.5</v>
          </cell>
          <cell r="R340">
            <v>72</v>
          </cell>
          <cell r="S340">
            <v>0</v>
          </cell>
          <cell r="T340">
            <v>3.77</v>
          </cell>
          <cell r="W340">
            <v>-7.52</v>
          </cell>
          <cell r="X340">
            <v>96</v>
          </cell>
          <cell r="Y340">
            <v>0</v>
          </cell>
        </row>
        <row r="341">
          <cell r="B341" t="str">
            <v>RES</v>
          </cell>
          <cell r="C341">
            <v>81085</v>
          </cell>
          <cell r="D341">
            <v>2013</v>
          </cell>
          <cell r="E341">
            <v>88.8</v>
          </cell>
          <cell r="F341">
            <v>387</v>
          </cell>
          <cell r="G341">
            <v>164</v>
          </cell>
          <cell r="H341">
            <v>14</v>
          </cell>
          <cell r="I341">
            <v>76</v>
          </cell>
          <cell r="J341">
            <v>258</v>
          </cell>
          <cell r="K341">
            <v>326</v>
          </cell>
          <cell r="L341">
            <v>16.2</v>
          </cell>
          <cell r="M341">
            <v>15</v>
          </cell>
          <cell r="N341">
            <v>9.1999999999999993</v>
          </cell>
          <cell r="O341">
            <v>0.3</v>
          </cell>
          <cell r="P341">
            <v>4.8</v>
          </cell>
          <cell r="R341">
            <v>253</v>
          </cell>
          <cell r="S341">
            <v>0</v>
          </cell>
          <cell r="T341">
            <v>7.24</v>
          </cell>
          <cell r="W341">
            <v>21.44</v>
          </cell>
          <cell r="X341">
            <v>197</v>
          </cell>
          <cell r="Y341">
            <v>0</v>
          </cell>
        </row>
        <row r="342">
          <cell r="B342" t="str">
            <v>WGB</v>
          </cell>
          <cell r="C342">
            <v>81086</v>
          </cell>
          <cell r="D342">
            <v>2013</v>
          </cell>
          <cell r="E342">
            <v>88.8</v>
          </cell>
          <cell r="F342">
            <v>172</v>
          </cell>
          <cell r="G342">
            <v>224</v>
          </cell>
          <cell r="H342">
            <v>19</v>
          </cell>
          <cell r="I342">
            <v>76</v>
          </cell>
          <cell r="J342">
            <v>87</v>
          </cell>
          <cell r="K342">
            <v>363</v>
          </cell>
          <cell r="L342">
            <v>8.8000000000000007</v>
          </cell>
          <cell r="M342">
            <v>6.8</v>
          </cell>
          <cell r="N342">
            <v>10.7</v>
          </cell>
          <cell r="O342">
            <v>7.8</v>
          </cell>
          <cell r="P342">
            <v>2.9</v>
          </cell>
          <cell r="R342">
            <v>173</v>
          </cell>
          <cell r="S342">
            <v>0</v>
          </cell>
          <cell r="T342">
            <v>8.25</v>
          </cell>
          <cell r="W342">
            <v>-0.16</v>
          </cell>
          <cell r="X342">
            <v>370</v>
          </cell>
          <cell r="Y342">
            <v>0</v>
          </cell>
        </row>
        <row r="343">
          <cell r="B343" t="str">
            <v xml:space="preserve">RB Dt. Weidelgras 1.Schnitt </v>
          </cell>
          <cell r="C343">
            <v>81089</v>
          </cell>
          <cell r="D343">
            <v>2013</v>
          </cell>
          <cell r="S343">
            <v>0</v>
          </cell>
          <cell r="V343">
            <v>107</v>
          </cell>
          <cell r="W343">
            <v>0</v>
          </cell>
          <cell r="Y343">
            <v>0</v>
          </cell>
        </row>
        <row r="344">
          <cell r="B344" t="str">
            <v>RB Rohrschwingel 1.Schnitt</v>
          </cell>
          <cell r="C344">
            <v>81090</v>
          </cell>
          <cell r="D344">
            <v>2013</v>
          </cell>
          <cell r="S344">
            <v>0</v>
          </cell>
          <cell r="V344">
            <v>67</v>
          </cell>
          <cell r="W344">
            <v>0</v>
          </cell>
          <cell r="Y344">
            <v>0</v>
          </cell>
        </row>
        <row r="345">
          <cell r="B345" t="str">
            <v xml:space="preserve">RB Dt. Weidelgras 2.Schnitt </v>
          </cell>
          <cell r="C345">
            <v>81091</v>
          </cell>
          <cell r="D345">
            <v>2013</v>
          </cell>
          <cell r="S345">
            <v>0</v>
          </cell>
          <cell r="V345">
            <v>55</v>
          </cell>
          <cell r="W345">
            <v>0</v>
          </cell>
          <cell r="Y345">
            <v>0</v>
          </cell>
        </row>
        <row r="346">
          <cell r="B346" t="str">
            <v>RB Rohrschwingel 2.Schnitt</v>
          </cell>
          <cell r="C346">
            <v>81092</v>
          </cell>
          <cell r="D346">
            <v>2013</v>
          </cell>
          <cell r="S346">
            <v>0</v>
          </cell>
          <cell r="V346">
            <v>100</v>
          </cell>
          <cell r="W346">
            <v>0</v>
          </cell>
          <cell r="Y346">
            <v>0</v>
          </cell>
        </row>
        <row r="347">
          <cell r="B347" t="str">
            <v>Silo 8</v>
          </cell>
          <cell r="C347">
            <v>81093</v>
          </cell>
          <cell r="D347">
            <v>2012</v>
          </cell>
          <cell r="S347">
            <v>0</v>
          </cell>
          <cell r="V347">
            <v>5</v>
          </cell>
          <cell r="W347">
            <v>0</v>
          </cell>
          <cell r="Y347">
            <v>0</v>
          </cell>
        </row>
        <row r="348">
          <cell r="B348" t="str">
            <v>Silo 7</v>
          </cell>
          <cell r="C348">
            <v>81094</v>
          </cell>
          <cell r="D348">
            <v>2012</v>
          </cell>
          <cell r="S348">
            <v>0</v>
          </cell>
          <cell r="V348">
            <v>30</v>
          </cell>
          <cell r="W348">
            <v>0</v>
          </cell>
          <cell r="Y348">
            <v>0</v>
          </cell>
        </row>
        <row r="349">
          <cell r="B349" t="str">
            <v>Treber</v>
          </cell>
          <cell r="C349">
            <v>81095</v>
          </cell>
          <cell r="D349">
            <v>2013</v>
          </cell>
          <cell r="S349">
            <v>0</v>
          </cell>
          <cell r="V349">
            <v>0</v>
          </cell>
          <cell r="W349">
            <v>0</v>
          </cell>
          <cell r="Y349">
            <v>0</v>
          </cell>
        </row>
        <row r="350">
          <cell r="B350" t="str">
            <v>Silo 2G</v>
          </cell>
          <cell r="C350">
            <v>81102</v>
          </cell>
          <cell r="D350">
            <v>2013</v>
          </cell>
          <cell r="E350">
            <v>46.2</v>
          </cell>
          <cell r="F350">
            <v>151</v>
          </cell>
          <cell r="G350">
            <v>293</v>
          </cell>
          <cell r="H350">
            <v>32</v>
          </cell>
          <cell r="I350">
            <v>97</v>
          </cell>
          <cell r="J350">
            <v>312</v>
          </cell>
          <cell r="K350">
            <v>465</v>
          </cell>
          <cell r="L350">
            <v>4.9000000000000004</v>
          </cell>
          <cell r="M350">
            <v>28</v>
          </cell>
          <cell r="N350">
            <v>6.1</v>
          </cell>
          <cell r="O350">
            <v>1.2</v>
          </cell>
          <cell r="P350">
            <v>2.2000000000000002</v>
          </cell>
          <cell r="R350">
            <v>136</v>
          </cell>
          <cell r="S350">
            <v>0</v>
          </cell>
          <cell r="T350">
            <v>6.21</v>
          </cell>
          <cell r="U350">
            <v>2.94</v>
          </cell>
          <cell r="V350">
            <v>88</v>
          </cell>
          <cell r="W350">
            <v>2.4</v>
          </cell>
          <cell r="X350">
            <v>255</v>
          </cell>
          <cell r="Y350">
            <v>0</v>
          </cell>
        </row>
        <row r="351">
          <cell r="B351" t="str">
            <v xml:space="preserve">RB Dt. Weidelgras 1.Schnitt </v>
          </cell>
          <cell r="C351">
            <v>81103</v>
          </cell>
          <cell r="D351">
            <v>2013</v>
          </cell>
          <cell r="E351">
            <v>46.4</v>
          </cell>
          <cell r="F351">
            <v>218</v>
          </cell>
          <cell r="G351">
            <v>295</v>
          </cell>
          <cell r="H351">
            <v>43</v>
          </cell>
          <cell r="I351">
            <v>117</v>
          </cell>
          <cell r="J351">
            <v>267</v>
          </cell>
          <cell r="K351">
            <v>433</v>
          </cell>
          <cell r="L351">
            <v>7</v>
          </cell>
          <cell r="M351">
            <v>42.3</v>
          </cell>
          <cell r="N351">
            <v>5.8</v>
          </cell>
          <cell r="O351">
            <v>2.2000000000000002</v>
          </cell>
          <cell r="P351">
            <v>1.6</v>
          </cell>
          <cell r="R351">
            <v>157</v>
          </cell>
          <cell r="S351">
            <v>0</v>
          </cell>
          <cell r="T351">
            <v>6.9</v>
          </cell>
          <cell r="U351">
            <v>2.75</v>
          </cell>
          <cell r="V351">
            <v>76</v>
          </cell>
          <cell r="W351">
            <v>9.76</v>
          </cell>
          <cell r="X351">
            <v>189</v>
          </cell>
          <cell r="Y351">
            <v>0</v>
          </cell>
        </row>
        <row r="352">
          <cell r="B352" t="str">
            <v>RB Rohrschwingel 1.Schnitt</v>
          </cell>
          <cell r="C352">
            <v>81104</v>
          </cell>
          <cell r="D352">
            <v>2013</v>
          </cell>
          <cell r="E352">
            <v>62.5</v>
          </cell>
          <cell r="F352">
            <v>217</v>
          </cell>
          <cell r="G352">
            <v>282</v>
          </cell>
          <cell r="H352">
            <v>32</v>
          </cell>
          <cell r="I352">
            <v>122</v>
          </cell>
          <cell r="J352">
            <v>285</v>
          </cell>
          <cell r="K352">
            <v>462</v>
          </cell>
          <cell r="L352">
            <v>5.8</v>
          </cell>
          <cell r="M352">
            <v>44.2</v>
          </cell>
          <cell r="N352">
            <v>4.0999999999999996</v>
          </cell>
          <cell r="O352">
            <v>2.1</v>
          </cell>
          <cell r="P352">
            <v>2.4</v>
          </cell>
          <cell r="R352">
            <v>147</v>
          </cell>
          <cell r="S352">
            <v>0</v>
          </cell>
          <cell r="T352">
            <v>6.25</v>
          </cell>
          <cell r="U352">
            <v>2.92</v>
          </cell>
          <cell r="V352">
            <v>68</v>
          </cell>
          <cell r="W352">
            <v>11.2</v>
          </cell>
          <cell r="X352">
            <v>167</v>
          </cell>
          <cell r="Y352">
            <v>0</v>
          </cell>
        </row>
        <row r="353">
          <cell r="B353" t="str">
            <v xml:space="preserve">RB Dt. Weidelgras 2.Schnitt </v>
          </cell>
          <cell r="C353">
            <v>81105</v>
          </cell>
          <cell r="D353">
            <v>2013</v>
          </cell>
          <cell r="E353">
            <v>41.9</v>
          </cell>
          <cell r="F353">
            <v>160</v>
          </cell>
          <cell r="G353">
            <v>295</v>
          </cell>
          <cell r="H353">
            <v>36</v>
          </cell>
          <cell r="I353">
            <v>109</v>
          </cell>
          <cell r="J353">
            <v>279</v>
          </cell>
          <cell r="K353">
            <v>440</v>
          </cell>
          <cell r="L353">
            <v>6.1</v>
          </cell>
          <cell r="M353">
            <v>37.700000000000003</v>
          </cell>
          <cell r="N353">
            <v>5.3</v>
          </cell>
          <cell r="O353">
            <v>0.9</v>
          </cell>
          <cell r="P353">
            <v>1.6</v>
          </cell>
          <cell r="R353">
            <v>144</v>
          </cell>
          <cell r="S353">
            <v>0</v>
          </cell>
          <cell r="T353">
            <v>6.62</v>
          </cell>
          <cell r="U353">
            <v>2.79</v>
          </cell>
          <cell r="V353">
            <v>56</v>
          </cell>
          <cell r="W353">
            <v>2.56</v>
          </cell>
          <cell r="X353">
            <v>255</v>
          </cell>
          <cell r="Y353">
            <v>0</v>
          </cell>
        </row>
        <row r="354">
          <cell r="B354" t="str">
            <v>RB Rohrschwingel 2.Schnitt</v>
          </cell>
          <cell r="C354">
            <v>81106</v>
          </cell>
          <cell r="D354">
            <v>2013</v>
          </cell>
          <cell r="E354">
            <v>53.1</v>
          </cell>
          <cell r="F354">
            <v>174</v>
          </cell>
          <cell r="G354">
            <v>300</v>
          </cell>
          <cell r="H354">
            <v>31</v>
          </cell>
          <cell r="I354">
            <v>120</v>
          </cell>
          <cell r="J354">
            <v>286</v>
          </cell>
          <cell r="K354">
            <v>472</v>
          </cell>
          <cell r="L354">
            <v>5.8</v>
          </cell>
          <cell r="M354">
            <v>40.799999999999997</v>
          </cell>
          <cell r="N354">
            <v>3.8</v>
          </cell>
          <cell r="O354">
            <v>0.6</v>
          </cell>
          <cell r="P354">
            <v>2.4</v>
          </cell>
          <cell r="R354">
            <v>137</v>
          </cell>
          <cell r="S354">
            <v>0</v>
          </cell>
          <cell r="T354">
            <v>6.01</v>
          </cell>
          <cell r="U354">
            <v>2.98</v>
          </cell>
          <cell r="V354">
            <v>40</v>
          </cell>
          <cell r="W354">
            <v>5.92</v>
          </cell>
          <cell r="X354">
            <v>203</v>
          </cell>
          <cell r="Y354">
            <v>0</v>
          </cell>
        </row>
        <row r="355">
          <cell r="B355" t="str">
            <v>Silo 8</v>
          </cell>
          <cell r="C355">
            <v>81107</v>
          </cell>
          <cell r="D355">
            <v>2013</v>
          </cell>
          <cell r="E355">
            <v>33.6</v>
          </cell>
          <cell r="F355">
            <v>75</v>
          </cell>
          <cell r="G355">
            <v>184</v>
          </cell>
          <cell r="H355">
            <v>32</v>
          </cell>
          <cell r="I355">
            <v>36</v>
          </cell>
          <cell r="J355">
            <v>210</v>
          </cell>
          <cell r="K355">
            <v>347</v>
          </cell>
          <cell r="L355">
            <v>2.6</v>
          </cell>
          <cell r="M355">
            <v>9.3000000000000007</v>
          </cell>
          <cell r="N355">
            <v>2.5</v>
          </cell>
          <cell r="O355">
            <v>0.2</v>
          </cell>
          <cell r="P355">
            <v>1.3</v>
          </cell>
          <cell r="R355">
            <v>136</v>
          </cell>
          <cell r="S355">
            <v>0</v>
          </cell>
          <cell r="T355">
            <v>6.9</v>
          </cell>
          <cell r="U355">
            <v>1.51</v>
          </cell>
          <cell r="W355">
            <v>-9.76</v>
          </cell>
          <cell r="X355">
            <v>510</v>
          </cell>
          <cell r="Y355">
            <v>0</v>
          </cell>
        </row>
        <row r="356">
          <cell r="B356" t="str">
            <v>Silo 7</v>
          </cell>
          <cell r="C356">
            <v>81108</v>
          </cell>
          <cell r="D356">
            <v>2013</v>
          </cell>
          <cell r="E356">
            <v>35.9</v>
          </cell>
          <cell r="F356">
            <v>71</v>
          </cell>
          <cell r="G356">
            <v>187</v>
          </cell>
          <cell r="H356">
            <v>30</v>
          </cell>
          <cell r="I356">
            <v>35</v>
          </cell>
          <cell r="J356">
            <v>213</v>
          </cell>
          <cell r="K356">
            <v>356</v>
          </cell>
          <cell r="L356">
            <v>2.4</v>
          </cell>
          <cell r="M356">
            <v>9.6</v>
          </cell>
          <cell r="N356">
            <v>2.4</v>
          </cell>
          <cell r="O356">
            <v>0.1</v>
          </cell>
          <cell r="P356">
            <v>1.2</v>
          </cell>
          <cell r="R356">
            <v>133</v>
          </cell>
          <cell r="S356">
            <v>0</v>
          </cell>
          <cell r="T356">
            <v>6.8</v>
          </cell>
          <cell r="U356">
            <v>1.57</v>
          </cell>
          <cell r="W356">
            <v>-9.92</v>
          </cell>
          <cell r="X356">
            <v>508</v>
          </cell>
          <cell r="Y356">
            <v>0</v>
          </cell>
        </row>
        <row r="357">
          <cell r="B357" t="str">
            <v>Silo 4</v>
          </cell>
          <cell r="C357">
            <v>81109</v>
          </cell>
          <cell r="D357">
            <v>2013</v>
          </cell>
          <cell r="E357">
            <v>34.5</v>
          </cell>
          <cell r="F357">
            <v>141</v>
          </cell>
          <cell r="G357">
            <v>299</v>
          </cell>
          <cell r="H357">
            <v>24</v>
          </cell>
          <cell r="I357">
            <v>80</v>
          </cell>
          <cell r="J357">
            <v>302</v>
          </cell>
          <cell r="K357">
            <v>448</v>
          </cell>
          <cell r="L357">
            <v>3.8</v>
          </cell>
          <cell r="M357">
            <v>0</v>
          </cell>
          <cell r="N357">
            <v>8.6</v>
          </cell>
          <cell r="O357">
            <v>1.9</v>
          </cell>
          <cell r="P357">
            <v>3.3</v>
          </cell>
          <cell r="R357">
            <v>136</v>
          </cell>
          <cell r="S357">
            <v>0</v>
          </cell>
          <cell r="T357">
            <v>6.2</v>
          </cell>
          <cell r="U357">
            <v>2.84</v>
          </cell>
          <cell r="V357">
            <v>9</v>
          </cell>
          <cell r="W357">
            <v>0.8</v>
          </cell>
          <cell r="X357">
            <v>307</v>
          </cell>
          <cell r="Y357">
            <v>0</v>
          </cell>
        </row>
        <row r="358">
          <cell r="B358" t="str">
            <v>Silo 9</v>
          </cell>
          <cell r="C358">
            <v>81110</v>
          </cell>
          <cell r="D358">
            <v>2013</v>
          </cell>
          <cell r="E358">
            <v>35.799999999999997</v>
          </cell>
          <cell r="F358">
            <v>200</v>
          </cell>
          <cell r="G358">
            <v>303</v>
          </cell>
          <cell r="H358">
            <v>33</v>
          </cell>
          <cell r="I358">
            <v>121</v>
          </cell>
          <cell r="J358">
            <v>306</v>
          </cell>
          <cell r="K358">
            <v>461</v>
          </cell>
          <cell r="L358">
            <v>5.0999999999999996</v>
          </cell>
          <cell r="M358">
            <v>33.5</v>
          </cell>
          <cell r="N358">
            <v>6.2</v>
          </cell>
          <cell r="O358">
            <v>2.6</v>
          </cell>
          <cell r="P358">
            <v>2.1</v>
          </cell>
          <cell r="R358">
            <v>142</v>
          </cell>
          <cell r="S358">
            <v>0</v>
          </cell>
          <cell r="T358">
            <v>6.1</v>
          </cell>
          <cell r="U358">
            <v>2.92</v>
          </cell>
          <cell r="V358">
            <v>11</v>
          </cell>
          <cell r="W358">
            <v>9.2799999999999994</v>
          </cell>
          <cell r="X358">
            <v>185</v>
          </cell>
          <cell r="Y358">
            <v>0</v>
          </cell>
        </row>
        <row r="359">
          <cell r="B359" t="str">
            <v>Silo 6</v>
          </cell>
          <cell r="C359">
            <v>81129</v>
          </cell>
          <cell r="D359">
            <v>2013</v>
          </cell>
          <cell r="E359">
            <v>34.9</v>
          </cell>
          <cell r="F359">
            <v>71</v>
          </cell>
          <cell r="G359">
            <v>180</v>
          </cell>
          <cell r="H359">
            <v>27</v>
          </cell>
          <cell r="I359">
            <v>37</v>
          </cell>
          <cell r="J359">
            <v>212</v>
          </cell>
          <cell r="K359">
            <v>357</v>
          </cell>
          <cell r="L359">
            <v>2.5</v>
          </cell>
          <cell r="M359">
            <v>9.6</v>
          </cell>
          <cell r="N359">
            <v>2.4</v>
          </cell>
          <cell r="O359">
            <v>0.2</v>
          </cell>
          <cell r="P359">
            <v>1.2</v>
          </cell>
          <cell r="R359">
            <v>134</v>
          </cell>
          <cell r="S359">
            <v>0</v>
          </cell>
          <cell r="T359">
            <v>6.86</v>
          </cell>
          <cell r="U359">
            <v>1.57</v>
          </cell>
          <cell r="W359">
            <v>-10.08</v>
          </cell>
          <cell r="X359">
            <v>508</v>
          </cell>
          <cell r="Y359">
            <v>0</v>
          </cell>
        </row>
        <row r="360">
          <cell r="B360" t="str">
            <v>Silo 2M</v>
          </cell>
          <cell r="C360">
            <v>81130</v>
          </cell>
          <cell r="D360">
            <v>2013</v>
          </cell>
          <cell r="E360">
            <v>34</v>
          </cell>
          <cell r="F360">
            <v>74</v>
          </cell>
          <cell r="G360">
            <v>175</v>
          </cell>
          <cell r="H360">
            <v>26</v>
          </cell>
          <cell r="I360">
            <v>35</v>
          </cell>
          <cell r="J360">
            <v>202</v>
          </cell>
          <cell r="K360">
            <v>340</v>
          </cell>
          <cell r="L360">
            <v>2.5</v>
          </cell>
          <cell r="M360">
            <v>8.9</v>
          </cell>
          <cell r="N360">
            <v>1.7</v>
          </cell>
          <cell r="O360">
            <v>0.1</v>
          </cell>
          <cell r="P360">
            <v>1</v>
          </cell>
          <cell r="R360">
            <v>135</v>
          </cell>
          <cell r="S360">
            <v>0</v>
          </cell>
          <cell r="T360">
            <v>6.9</v>
          </cell>
          <cell r="U360">
            <v>1.47</v>
          </cell>
          <cell r="W360">
            <v>-9.76</v>
          </cell>
          <cell r="X360">
            <v>525</v>
          </cell>
          <cell r="Y360">
            <v>0</v>
          </cell>
        </row>
        <row r="361">
          <cell r="B361" t="str">
            <v>Silo 3</v>
          </cell>
          <cell r="C361">
            <v>81131</v>
          </cell>
          <cell r="D361">
            <v>2013</v>
          </cell>
          <cell r="E361">
            <v>36.6</v>
          </cell>
          <cell r="F361">
            <v>74</v>
          </cell>
          <cell r="G361">
            <v>182</v>
          </cell>
          <cell r="H361">
            <v>39</v>
          </cell>
          <cell r="I361">
            <v>35</v>
          </cell>
          <cell r="J361">
            <v>201</v>
          </cell>
          <cell r="K361">
            <v>332</v>
          </cell>
          <cell r="L361">
            <v>2.7</v>
          </cell>
          <cell r="M361">
            <v>8.8000000000000007</v>
          </cell>
          <cell r="N361">
            <v>1.9</v>
          </cell>
          <cell r="O361">
            <v>0.1</v>
          </cell>
          <cell r="P361">
            <v>1</v>
          </cell>
          <cell r="R361">
            <v>140</v>
          </cell>
          <cell r="S361">
            <v>0</v>
          </cell>
          <cell r="T361">
            <v>7.24</v>
          </cell>
          <cell r="U361">
            <v>1.42</v>
          </cell>
          <cell r="W361">
            <v>-10.56</v>
          </cell>
          <cell r="X361">
            <v>520</v>
          </cell>
          <cell r="Y361">
            <v>0</v>
          </cell>
        </row>
        <row r="362">
          <cell r="B362" t="str">
            <v>Silo 4</v>
          </cell>
          <cell r="C362">
            <v>81132</v>
          </cell>
          <cell r="D362">
            <v>2013</v>
          </cell>
          <cell r="E362">
            <v>34.200000000000003</v>
          </cell>
          <cell r="F362">
            <v>135</v>
          </cell>
          <cell r="G362">
            <v>321</v>
          </cell>
          <cell r="H362">
            <v>28</v>
          </cell>
          <cell r="I362">
            <v>77</v>
          </cell>
          <cell r="J362">
            <v>303</v>
          </cell>
          <cell r="K362">
            <v>457</v>
          </cell>
          <cell r="L362">
            <v>4.2</v>
          </cell>
          <cell r="M362">
            <v>16</v>
          </cell>
          <cell r="N362">
            <v>6.2</v>
          </cell>
          <cell r="O362">
            <v>1.6</v>
          </cell>
          <cell r="P362">
            <v>2.2999999999999998</v>
          </cell>
          <cell r="R362">
            <v>134</v>
          </cell>
          <cell r="S362">
            <v>0</v>
          </cell>
          <cell r="T362">
            <v>6.16</v>
          </cell>
          <cell r="U362">
            <v>2.89</v>
          </cell>
          <cell r="W362">
            <v>0.16</v>
          </cell>
          <cell r="X362">
            <v>303</v>
          </cell>
          <cell r="Y362">
            <v>0</v>
          </cell>
        </row>
        <row r="363">
          <cell r="B363" t="str">
            <v>Treber</v>
          </cell>
          <cell r="C363">
            <v>81133</v>
          </cell>
          <cell r="D363">
            <v>2013</v>
          </cell>
          <cell r="E363">
            <v>21.6</v>
          </cell>
          <cell r="F363">
            <v>259</v>
          </cell>
          <cell r="G363">
            <v>215</v>
          </cell>
          <cell r="H363">
            <v>83</v>
          </cell>
          <cell r="I363">
            <v>44</v>
          </cell>
          <cell r="J363">
            <v>289</v>
          </cell>
          <cell r="K363">
            <v>558</v>
          </cell>
          <cell r="L363">
            <v>8</v>
          </cell>
          <cell r="M363">
            <v>2</v>
          </cell>
          <cell r="N363">
            <v>3.7</v>
          </cell>
          <cell r="O363">
            <v>0.2</v>
          </cell>
          <cell r="P363">
            <v>1.3</v>
          </cell>
          <cell r="R363">
            <v>211</v>
          </cell>
          <cell r="S363">
            <v>0</v>
          </cell>
          <cell r="T363">
            <v>6.7</v>
          </cell>
          <cell r="U363">
            <v>1.05</v>
          </cell>
          <cell r="W363">
            <v>7.68</v>
          </cell>
          <cell r="X363">
            <v>56</v>
          </cell>
          <cell r="Y363">
            <v>0</v>
          </cell>
        </row>
        <row r="364">
          <cell r="B364" t="str">
            <v>WG 50/43/4/½</v>
          </cell>
          <cell r="C364">
            <v>81134</v>
          </cell>
          <cell r="D364">
            <v>2013</v>
          </cell>
          <cell r="E364">
            <v>89.4</v>
          </cell>
          <cell r="F364">
            <v>113</v>
          </cell>
          <cell r="G364">
            <v>184</v>
          </cell>
          <cell r="H364">
            <v>18</v>
          </cell>
          <cell r="I364">
            <v>60</v>
          </cell>
          <cell r="J364">
            <v>106</v>
          </cell>
          <cell r="K364">
            <v>181</v>
          </cell>
          <cell r="L364">
            <v>6.9</v>
          </cell>
          <cell r="M364">
            <v>6.5</v>
          </cell>
          <cell r="N364">
            <v>5.4</v>
          </cell>
          <cell r="O364">
            <v>5.8</v>
          </cell>
          <cell r="P364">
            <v>1.8</v>
          </cell>
          <cell r="R364">
            <v>158</v>
          </cell>
          <cell r="S364">
            <v>0</v>
          </cell>
          <cell r="T364">
            <v>8</v>
          </cell>
          <cell r="W364">
            <v>-7.2</v>
          </cell>
          <cell r="X364">
            <v>628</v>
          </cell>
          <cell r="Y364">
            <v>0</v>
          </cell>
        </row>
        <row r="365">
          <cell r="B365" t="str">
            <v>RES</v>
          </cell>
          <cell r="C365">
            <v>81135</v>
          </cell>
          <cell r="D365">
            <v>2013</v>
          </cell>
          <cell r="E365">
            <v>88.9</v>
          </cell>
          <cell r="F365">
            <v>372</v>
          </cell>
          <cell r="G365">
            <v>154</v>
          </cell>
          <cell r="H365">
            <v>24</v>
          </cell>
          <cell r="I365">
            <v>80</v>
          </cell>
          <cell r="J365">
            <v>238</v>
          </cell>
          <cell r="K365">
            <v>350</v>
          </cell>
          <cell r="L365">
            <v>1.7</v>
          </cell>
          <cell r="M365">
            <v>13.2</v>
          </cell>
          <cell r="N365">
            <v>6.9</v>
          </cell>
          <cell r="O365">
            <v>0.8</v>
          </cell>
          <cell r="P365">
            <v>4.5</v>
          </cell>
          <cell r="R365">
            <v>248</v>
          </cell>
          <cell r="S365">
            <v>0</v>
          </cell>
          <cell r="T365">
            <v>7.27</v>
          </cell>
          <cell r="W365">
            <v>19.84</v>
          </cell>
          <cell r="X365">
            <v>174</v>
          </cell>
          <cell r="Y365">
            <v>0</v>
          </cell>
        </row>
        <row r="366">
          <cell r="B366" t="str">
            <v>Heu, 2. S.</v>
          </cell>
          <cell r="C366">
            <v>81136</v>
          </cell>
          <cell r="D366">
            <v>2013</v>
          </cell>
          <cell r="E366">
            <v>90.6</v>
          </cell>
          <cell r="F366">
            <v>133</v>
          </cell>
          <cell r="G366">
            <v>307</v>
          </cell>
          <cell r="H366">
            <v>30</v>
          </cell>
          <cell r="I366">
            <v>107</v>
          </cell>
          <cell r="J366">
            <v>317</v>
          </cell>
          <cell r="K366">
            <v>467</v>
          </cell>
          <cell r="L366">
            <v>5.8</v>
          </cell>
          <cell r="M366">
            <v>29.9</v>
          </cell>
          <cell r="N366">
            <v>4.4000000000000004</v>
          </cell>
          <cell r="O366">
            <v>0.6</v>
          </cell>
          <cell r="P366">
            <v>1.4</v>
          </cell>
          <cell r="R366">
            <v>139</v>
          </cell>
          <cell r="S366">
            <v>0</v>
          </cell>
          <cell r="T366">
            <v>6.13</v>
          </cell>
          <cell r="U366">
            <v>2.95</v>
          </cell>
          <cell r="W366">
            <v>-0.96</v>
          </cell>
          <cell r="X366">
            <v>263</v>
          </cell>
          <cell r="Y366">
            <v>0</v>
          </cell>
        </row>
        <row r="367">
          <cell r="B367" t="str">
            <v>Stroh, Gerste</v>
          </cell>
          <cell r="C367">
            <v>81137</v>
          </cell>
          <cell r="D367">
            <v>2013</v>
          </cell>
          <cell r="E367">
            <v>91.5</v>
          </cell>
          <cell r="F367">
            <v>28</v>
          </cell>
          <cell r="G367">
            <v>488</v>
          </cell>
          <cell r="H367">
            <v>15</v>
          </cell>
          <cell r="I367">
            <v>52</v>
          </cell>
          <cell r="J367">
            <v>534</v>
          </cell>
          <cell r="K367">
            <v>773</v>
          </cell>
          <cell r="L367">
            <v>1</v>
          </cell>
          <cell r="M367">
            <v>12.9</v>
          </cell>
          <cell r="N367">
            <v>3.5</v>
          </cell>
          <cell r="O367">
            <v>0.2</v>
          </cell>
          <cell r="P367">
            <v>0.2</v>
          </cell>
          <cell r="R367">
            <v>74</v>
          </cell>
          <cell r="S367">
            <v>0</v>
          </cell>
          <cell r="T367">
            <v>3.78</v>
          </cell>
          <cell r="U367">
            <v>4.3</v>
          </cell>
          <cell r="W367">
            <v>-7.36</v>
          </cell>
          <cell r="X367">
            <v>132</v>
          </cell>
          <cell r="Y367">
            <v>0</v>
          </cell>
        </row>
        <row r="368">
          <cell r="B368" t="str">
            <v>Treber</v>
          </cell>
          <cell r="C368">
            <v>81138</v>
          </cell>
          <cell r="D368">
            <v>2013</v>
          </cell>
          <cell r="E368">
            <v>23.4</v>
          </cell>
          <cell r="F368">
            <v>258</v>
          </cell>
          <cell r="G368">
            <v>225</v>
          </cell>
          <cell r="H368">
            <v>96</v>
          </cell>
          <cell r="I368">
            <v>47</v>
          </cell>
          <cell r="J368">
            <v>287</v>
          </cell>
          <cell r="K368">
            <v>577</v>
          </cell>
          <cell r="L368">
            <v>9.5</v>
          </cell>
          <cell r="M368">
            <v>1.5</v>
          </cell>
          <cell r="N368">
            <v>4.9000000000000004</v>
          </cell>
          <cell r="O368">
            <v>0.1</v>
          </cell>
          <cell r="P368">
            <v>1.9</v>
          </cell>
          <cell r="R368">
            <v>212</v>
          </cell>
          <cell r="S368">
            <v>0</v>
          </cell>
          <cell r="T368">
            <v>6.8</v>
          </cell>
          <cell r="U368">
            <v>1.05</v>
          </cell>
          <cell r="W368">
            <v>7.36</v>
          </cell>
          <cell r="X368">
            <v>22</v>
          </cell>
          <cell r="Y368">
            <v>0</v>
          </cell>
        </row>
        <row r="369">
          <cell r="B369" t="str">
            <v>Silo 3</v>
          </cell>
          <cell r="C369">
            <v>81139</v>
          </cell>
          <cell r="D369">
            <v>2012</v>
          </cell>
          <cell r="E369">
            <v>38.1</v>
          </cell>
          <cell r="F369">
            <v>87</v>
          </cell>
          <cell r="G369">
            <v>175</v>
          </cell>
          <cell r="H369">
            <v>44</v>
          </cell>
          <cell r="I369">
            <v>34</v>
          </cell>
          <cell r="J369">
            <v>210</v>
          </cell>
          <cell r="K369">
            <v>353</v>
          </cell>
          <cell r="L369">
            <v>3.3</v>
          </cell>
          <cell r="M369">
            <v>8.8000000000000007</v>
          </cell>
          <cell r="N369">
            <v>1.9</v>
          </cell>
          <cell r="O369">
            <v>0.1</v>
          </cell>
          <cell r="P369">
            <v>1</v>
          </cell>
          <cell r="R369">
            <v>144</v>
          </cell>
          <cell r="S369">
            <v>0</v>
          </cell>
          <cell r="T369">
            <v>7.32</v>
          </cell>
          <cell r="U369">
            <v>1.55</v>
          </cell>
          <cell r="V369">
            <v>4</v>
          </cell>
          <cell r="W369">
            <v>-9.1199999999999992</v>
          </cell>
          <cell r="X369">
            <v>482</v>
          </cell>
          <cell r="Y369">
            <v>0</v>
          </cell>
        </row>
        <row r="370">
          <cell r="B370" t="str">
            <v>Silo 4</v>
          </cell>
          <cell r="C370">
            <v>81140</v>
          </cell>
          <cell r="D370">
            <v>2013</v>
          </cell>
          <cell r="E370">
            <v>23.3</v>
          </cell>
          <cell r="F370">
            <v>126</v>
          </cell>
          <cell r="G370">
            <v>314</v>
          </cell>
          <cell r="H370">
            <v>32</v>
          </cell>
          <cell r="I370">
            <v>114</v>
          </cell>
          <cell r="J370">
            <v>319</v>
          </cell>
          <cell r="K370">
            <v>492</v>
          </cell>
          <cell r="L370">
            <v>5</v>
          </cell>
          <cell r="M370">
            <v>26.1</v>
          </cell>
          <cell r="N370">
            <v>5.8</v>
          </cell>
          <cell r="O370">
            <v>0.7</v>
          </cell>
          <cell r="P370">
            <v>1.9</v>
          </cell>
          <cell r="R370">
            <v>128</v>
          </cell>
          <cell r="S370">
            <v>0</v>
          </cell>
          <cell r="T370">
            <v>5.9</v>
          </cell>
          <cell r="U370">
            <v>3.1</v>
          </cell>
          <cell r="V370">
            <v>28</v>
          </cell>
          <cell r="W370">
            <v>-0.32</v>
          </cell>
          <cell r="X370">
            <v>236</v>
          </cell>
          <cell r="Y370">
            <v>0</v>
          </cell>
        </row>
        <row r="371">
          <cell r="B371" t="str">
            <v>WG 50/43/4/1/2</v>
          </cell>
          <cell r="C371">
            <v>81141</v>
          </cell>
          <cell r="D371">
            <v>2013</v>
          </cell>
          <cell r="E371">
            <v>89.2</v>
          </cell>
          <cell r="F371">
            <v>119</v>
          </cell>
          <cell r="G371">
            <v>163</v>
          </cell>
          <cell r="H371">
            <v>19</v>
          </cell>
          <cell r="I371">
            <v>87</v>
          </cell>
          <cell r="J371">
            <v>46</v>
          </cell>
          <cell r="K371">
            <v>144</v>
          </cell>
          <cell r="L371">
            <v>9.8000000000000007</v>
          </cell>
          <cell r="M371">
            <v>6.6</v>
          </cell>
          <cell r="N371">
            <v>13.8</v>
          </cell>
          <cell r="O371">
            <v>5.6</v>
          </cell>
          <cell r="P371">
            <v>3.4</v>
          </cell>
          <cell r="R371">
            <v>156</v>
          </cell>
          <cell r="S371">
            <v>0</v>
          </cell>
          <cell r="T371">
            <v>8.0399999999999991</v>
          </cell>
          <cell r="W371">
            <v>-5.92</v>
          </cell>
          <cell r="X371">
            <v>631</v>
          </cell>
          <cell r="Y371">
            <v>0</v>
          </cell>
        </row>
        <row r="372">
          <cell r="B372" t="str">
            <v>RES</v>
          </cell>
          <cell r="C372">
            <v>81142</v>
          </cell>
          <cell r="D372">
            <v>2013</v>
          </cell>
          <cell r="E372">
            <v>87.7</v>
          </cell>
          <cell r="F372">
            <v>384</v>
          </cell>
          <cell r="G372">
            <v>154</v>
          </cell>
          <cell r="H372">
            <v>17</v>
          </cell>
          <cell r="I372">
            <v>78</v>
          </cell>
          <cell r="J372">
            <v>224</v>
          </cell>
          <cell r="K372">
            <v>329</v>
          </cell>
          <cell r="L372">
            <v>16.899999999999999</v>
          </cell>
          <cell r="M372">
            <v>14.5</v>
          </cell>
          <cell r="N372">
            <v>9.1</v>
          </cell>
          <cell r="O372">
            <v>0.05</v>
          </cell>
          <cell r="P372">
            <v>4.2</v>
          </cell>
          <cell r="R372">
            <v>252</v>
          </cell>
          <cell r="S372">
            <v>0</v>
          </cell>
          <cell r="T372">
            <v>7.25</v>
          </cell>
          <cell r="W372">
            <v>21.12</v>
          </cell>
          <cell r="X372">
            <v>192</v>
          </cell>
          <cell r="Y372">
            <v>0</v>
          </cell>
        </row>
        <row r="373">
          <cell r="B373" t="str">
            <v>Heu, 2. S.</v>
          </cell>
          <cell r="C373">
            <v>81143</v>
          </cell>
          <cell r="D373">
            <v>2013</v>
          </cell>
          <cell r="E373">
            <v>90.7</v>
          </cell>
          <cell r="F373">
            <v>143</v>
          </cell>
          <cell r="G373">
            <v>300</v>
          </cell>
          <cell r="H373">
            <v>24</v>
          </cell>
          <cell r="I373">
            <v>83</v>
          </cell>
          <cell r="J373">
            <v>307</v>
          </cell>
          <cell r="K373">
            <v>490</v>
          </cell>
          <cell r="L373">
            <v>5</v>
          </cell>
          <cell r="M373">
            <v>26</v>
          </cell>
          <cell r="N373">
            <v>4.3</v>
          </cell>
          <cell r="O373">
            <v>1.3</v>
          </cell>
          <cell r="P373">
            <v>1.9</v>
          </cell>
          <cell r="R373">
            <v>140</v>
          </cell>
          <cell r="S373">
            <v>0</v>
          </cell>
          <cell r="T373">
            <v>5.97</v>
          </cell>
          <cell r="U373">
            <v>3.09</v>
          </cell>
          <cell r="W373">
            <v>0.48</v>
          </cell>
          <cell r="X373">
            <v>260</v>
          </cell>
          <cell r="Y373">
            <v>0</v>
          </cell>
        </row>
        <row r="374">
          <cell r="B374" t="str">
            <v>Stroh, Gerste</v>
          </cell>
          <cell r="C374">
            <v>81144</v>
          </cell>
          <cell r="D374">
            <v>2013</v>
          </cell>
          <cell r="E374">
            <v>92.1</v>
          </cell>
          <cell r="F374">
            <v>32</v>
          </cell>
          <cell r="G374">
            <v>479</v>
          </cell>
          <cell r="H374">
            <v>14</v>
          </cell>
          <cell r="I374">
            <v>47</v>
          </cell>
          <cell r="J374">
            <v>528</v>
          </cell>
          <cell r="K374">
            <v>778</v>
          </cell>
          <cell r="L374">
            <v>1.1000000000000001</v>
          </cell>
          <cell r="M374">
            <v>14.8</v>
          </cell>
          <cell r="N374">
            <v>2.8</v>
          </cell>
          <cell r="O374">
            <v>0.2</v>
          </cell>
          <cell r="P374">
            <v>0.2</v>
          </cell>
          <cell r="R374">
            <v>76</v>
          </cell>
          <cell r="S374">
            <v>0</v>
          </cell>
          <cell r="T374">
            <v>3.81</v>
          </cell>
          <cell r="W374">
            <v>-7.04</v>
          </cell>
          <cell r="X374">
            <v>129</v>
          </cell>
          <cell r="Y374">
            <v>0</v>
          </cell>
        </row>
        <row r="375">
          <cell r="B375" t="str">
            <v>Treber</v>
          </cell>
          <cell r="C375">
            <v>81145</v>
          </cell>
          <cell r="D375">
            <v>2013</v>
          </cell>
          <cell r="E375">
            <v>21.7</v>
          </cell>
          <cell r="F375">
            <v>227</v>
          </cell>
          <cell r="G375">
            <v>206</v>
          </cell>
          <cell r="H375">
            <v>81</v>
          </cell>
          <cell r="I375">
            <v>45</v>
          </cell>
          <cell r="J375">
            <v>266</v>
          </cell>
          <cell r="K375">
            <v>577</v>
          </cell>
          <cell r="L375">
            <v>7.7</v>
          </cell>
          <cell r="M375">
            <v>2.1</v>
          </cell>
          <cell r="N375">
            <v>4</v>
          </cell>
          <cell r="O375">
            <v>0.2</v>
          </cell>
          <cell r="P375">
            <v>1.4</v>
          </cell>
          <cell r="R375">
            <v>196</v>
          </cell>
          <cell r="S375">
            <v>0</v>
          </cell>
          <cell r="T375">
            <v>6.64</v>
          </cell>
          <cell r="V375">
            <v>0</v>
          </cell>
          <cell r="W375">
            <v>4.96</v>
          </cell>
          <cell r="X375">
            <v>70</v>
          </cell>
          <cell r="Y375">
            <v>0</v>
          </cell>
        </row>
        <row r="376">
          <cell r="B376" t="str">
            <v>Pressschnitzel</v>
          </cell>
          <cell r="C376">
            <v>81146</v>
          </cell>
          <cell r="D376">
            <v>2013</v>
          </cell>
          <cell r="E376">
            <v>29.6</v>
          </cell>
          <cell r="F376">
            <v>86</v>
          </cell>
          <cell r="G376">
            <v>216</v>
          </cell>
          <cell r="H376">
            <v>5</v>
          </cell>
          <cell r="I376">
            <v>10</v>
          </cell>
          <cell r="J376">
            <v>227</v>
          </cell>
          <cell r="K376">
            <v>484</v>
          </cell>
          <cell r="L376">
            <v>1.3</v>
          </cell>
          <cell r="M376">
            <v>4.5</v>
          </cell>
          <cell r="N376">
            <v>10.1</v>
          </cell>
          <cell r="O376">
            <v>0.2</v>
          </cell>
          <cell r="P376">
            <v>1.7</v>
          </cell>
          <cell r="R376">
            <v>139</v>
          </cell>
          <cell r="S376">
            <v>0</v>
          </cell>
          <cell r="T376">
            <v>7.11</v>
          </cell>
          <cell r="W376">
            <v>-8.48</v>
          </cell>
          <cell r="X376">
            <v>415</v>
          </cell>
          <cell r="Y376">
            <v>0</v>
          </cell>
        </row>
        <row r="377">
          <cell r="B377" t="str">
            <v>Pressschnitzel</v>
          </cell>
          <cell r="C377">
            <v>81147</v>
          </cell>
          <cell r="D377">
            <v>2013</v>
          </cell>
          <cell r="E377">
            <v>30.7</v>
          </cell>
          <cell r="F377">
            <v>79</v>
          </cell>
          <cell r="G377">
            <v>207</v>
          </cell>
          <cell r="H377">
            <v>6</v>
          </cell>
          <cell r="I377">
            <v>11</v>
          </cell>
          <cell r="J377">
            <v>225</v>
          </cell>
          <cell r="K377">
            <v>444</v>
          </cell>
          <cell r="L377">
            <v>1.3</v>
          </cell>
          <cell r="M377">
            <v>3.8</v>
          </cell>
          <cell r="N377">
            <v>11.8</v>
          </cell>
          <cell r="O377">
            <v>0.3</v>
          </cell>
          <cell r="P377">
            <v>2.2999999999999998</v>
          </cell>
          <cell r="R377">
            <v>136</v>
          </cell>
          <cell r="S377">
            <v>0</v>
          </cell>
          <cell r="T377">
            <v>7.05</v>
          </cell>
          <cell r="W377">
            <v>-9.1199999999999992</v>
          </cell>
          <cell r="X377">
            <v>460</v>
          </cell>
          <cell r="Y377">
            <v>0</v>
          </cell>
        </row>
        <row r="378">
          <cell r="B378" t="str">
            <v>Treber</v>
          </cell>
          <cell r="C378">
            <v>81148</v>
          </cell>
          <cell r="D378">
            <v>2013</v>
          </cell>
          <cell r="E378">
            <v>25.1</v>
          </cell>
          <cell r="F378">
            <v>224</v>
          </cell>
          <cell r="G378">
            <v>221</v>
          </cell>
          <cell r="H378">
            <v>77</v>
          </cell>
          <cell r="I378">
            <v>47</v>
          </cell>
          <cell r="J378">
            <v>275</v>
          </cell>
          <cell r="K378">
            <v>572</v>
          </cell>
          <cell r="L378">
            <v>9.4</v>
          </cell>
          <cell r="M378">
            <v>2.2999999999999998</v>
          </cell>
          <cell r="N378">
            <v>5</v>
          </cell>
          <cell r="O378">
            <v>0.1</v>
          </cell>
          <cell r="P378">
            <v>3</v>
          </cell>
          <cell r="R378">
            <v>194</v>
          </cell>
          <cell r="S378">
            <v>0</v>
          </cell>
          <cell r="T378">
            <v>6.58</v>
          </cell>
          <cell r="W378">
            <v>4.8</v>
          </cell>
          <cell r="X378">
            <v>80</v>
          </cell>
          <cell r="Y378">
            <v>0</v>
          </cell>
        </row>
        <row r="379">
          <cell r="B379" t="str">
            <v>RES</v>
          </cell>
          <cell r="C379">
            <v>81149</v>
          </cell>
          <cell r="D379">
            <v>2013</v>
          </cell>
          <cell r="E379">
            <v>87.9</v>
          </cell>
          <cell r="F379">
            <v>387</v>
          </cell>
          <cell r="G379">
            <v>163</v>
          </cell>
          <cell r="H379">
            <v>18</v>
          </cell>
          <cell r="I379">
            <v>75</v>
          </cell>
          <cell r="J379">
            <v>237</v>
          </cell>
          <cell r="K379">
            <v>314</v>
          </cell>
          <cell r="L379">
            <v>16.600000000000001</v>
          </cell>
          <cell r="M379">
            <v>14.9</v>
          </cell>
          <cell r="N379">
            <v>8.1999999999999993</v>
          </cell>
          <cell r="O379">
            <v>0.3</v>
          </cell>
          <cell r="P379">
            <v>4.9000000000000004</v>
          </cell>
          <cell r="R379">
            <v>253</v>
          </cell>
          <cell r="S379">
            <v>0</v>
          </cell>
          <cell r="T379">
            <v>7.27</v>
          </cell>
          <cell r="W379">
            <v>21.44</v>
          </cell>
          <cell r="X379">
            <v>206</v>
          </cell>
          <cell r="Y379">
            <v>0</v>
          </cell>
        </row>
        <row r="380">
          <cell r="B380" t="str">
            <v>Silo 3</v>
          </cell>
          <cell r="C380">
            <v>81150</v>
          </cell>
          <cell r="D380">
            <v>2013</v>
          </cell>
          <cell r="E380">
            <v>36.4</v>
          </cell>
          <cell r="F380">
            <v>84</v>
          </cell>
          <cell r="G380">
            <v>149</v>
          </cell>
          <cell r="H380">
            <v>43</v>
          </cell>
          <cell r="I380">
            <v>40</v>
          </cell>
          <cell r="J380">
            <v>192</v>
          </cell>
          <cell r="K380">
            <v>332</v>
          </cell>
          <cell r="L380">
            <v>3.2</v>
          </cell>
          <cell r="M380">
            <v>11.3</v>
          </cell>
          <cell r="N380">
            <v>2.2000000000000002</v>
          </cell>
          <cell r="O380">
            <v>0.1</v>
          </cell>
          <cell r="P380">
            <v>1.4</v>
          </cell>
          <cell r="R380">
            <v>143</v>
          </cell>
          <cell r="S380">
            <v>0</v>
          </cell>
          <cell r="T380">
            <v>7.33</v>
          </cell>
          <cell r="U380">
            <v>1.42</v>
          </cell>
          <cell r="W380">
            <v>-9.44</v>
          </cell>
          <cell r="X380">
            <v>501</v>
          </cell>
          <cell r="Y380">
            <v>0</v>
          </cell>
        </row>
        <row r="381">
          <cell r="B381" t="str">
            <v>Silo 4</v>
          </cell>
          <cell r="C381">
            <v>81151</v>
          </cell>
          <cell r="D381">
            <v>2013</v>
          </cell>
          <cell r="E381">
            <v>26.6</v>
          </cell>
          <cell r="F381">
            <v>143</v>
          </cell>
          <cell r="G381">
            <v>287</v>
          </cell>
          <cell r="H381">
            <v>39</v>
          </cell>
          <cell r="I381">
            <v>88</v>
          </cell>
          <cell r="J381">
            <v>324</v>
          </cell>
          <cell r="K381">
            <v>482</v>
          </cell>
          <cell r="L381">
            <v>4.9000000000000004</v>
          </cell>
          <cell r="M381">
            <v>23.9</v>
          </cell>
          <cell r="N381">
            <v>7.1</v>
          </cell>
          <cell r="O381">
            <v>2.1</v>
          </cell>
          <cell r="P381">
            <v>2.2000000000000002</v>
          </cell>
          <cell r="R381">
            <v>133</v>
          </cell>
          <cell r="S381">
            <v>0</v>
          </cell>
          <cell r="T381">
            <v>6.03</v>
          </cell>
          <cell r="U381">
            <v>3.04</v>
          </cell>
          <cell r="W381">
            <v>1.6</v>
          </cell>
          <cell r="X381">
            <v>248</v>
          </cell>
          <cell r="Y381">
            <v>0</v>
          </cell>
        </row>
        <row r="382">
          <cell r="B382" t="str">
            <v>Treber</v>
          </cell>
          <cell r="C382">
            <v>81152</v>
          </cell>
          <cell r="D382">
            <v>2013</v>
          </cell>
          <cell r="E382">
            <v>21.8</v>
          </cell>
          <cell r="F382">
            <v>222</v>
          </cell>
          <cell r="G382">
            <v>202</v>
          </cell>
          <cell r="H382">
            <v>74</v>
          </cell>
          <cell r="I382">
            <v>42</v>
          </cell>
          <cell r="J382">
            <v>286</v>
          </cell>
          <cell r="K382">
            <v>557</v>
          </cell>
          <cell r="L382">
            <v>8.3000000000000007</v>
          </cell>
          <cell r="M382">
            <v>3.1</v>
          </cell>
          <cell r="N382">
            <v>4</v>
          </cell>
          <cell r="O382">
            <v>1.2</v>
          </cell>
          <cell r="P382">
            <v>2.1</v>
          </cell>
          <cell r="R382">
            <v>194</v>
          </cell>
          <cell r="S382">
            <v>0</v>
          </cell>
          <cell r="T382">
            <v>6.6</v>
          </cell>
          <cell r="W382">
            <v>4.4800000000000004</v>
          </cell>
          <cell r="X382">
            <v>105</v>
          </cell>
          <cell r="Y382">
            <v>0</v>
          </cell>
        </row>
        <row r="383">
          <cell r="B383" t="str">
            <v>WG 50/44/4,5/1/0,5</v>
          </cell>
          <cell r="C383">
            <v>81153</v>
          </cell>
          <cell r="D383">
            <v>2013</v>
          </cell>
          <cell r="E383">
            <v>90.3</v>
          </cell>
          <cell r="F383">
            <v>121</v>
          </cell>
          <cell r="G383">
            <v>56</v>
          </cell>
          <cell r="H383">
            <v>18</v>
          </cell>
          <cell r="I383">
            <v>73</v>
          </cell>
          <cell r="J383">
            <v>115</v>
          </cell>
          <cell r="K383">
            <v>161</v>
          </cell>
          <cell r="L383">
            <v>7.4</v>
          </cell>
          <cell r="M383">
            <v>8.1999999999999993</v>
          </cell>
          <cell r="N383">
            <v>9.3000000000000007</v>
          </cell>
          <cell r="O383">
            <v>8.3000000000000007</v>
          </cell>
          <cell r="P383">
            <v>2.5</v>
          </cell>
          <cell r="R383">
            <v>161</v>
          </cell>
          <cell r="S383">
            <v>0</v>
          </cell>
          <cell r="T383">
            <v>8.17</v>
          </cell>
          <cell r="W383">
            <v>-6.4</v>
          </cell>
          <cell r="X383">
            <v>627</v>
          </cell>
          <cell r="Y383">
            <v>0</v>
          </cell>
        </row>
        <row r="384">
          <cell r="B384" t="str">
            <v>RES</v>
          </cell>
          <cell r="C384">
            <v>81154</v>
          </cell>
          <cell r="D384">
            <v>2013</v>
          </cell>
          <cell r="E384">
            <v>88.2</v>
          </cell>
          <cell r="F384">
            <v>378</v>
          </cell>
          <cell r="G384">
            <v>159</v>
          </cell>
          <cell r="H384">
            <v>25</v>
          </cell>
          <cell r="I384">
            <v>80</v>
          </cell>
          <cell r="J384">
            <v>235</v>
          </cell>
          <cell r="K384">
            <v>316</v>
          </cell>
          <cell r="L384">
            <v>16.8</v>
          </cell>
          <cell r="M384">
            <v>16.899999999999999</v>
          </cell>
          <cell r="N384">
            <v>8.6999999999999993</v>
          </cell>
          <cell r="O384">
            <v>1</v>
          </cell>
          <cell r="P384">
            <v>4.8</v>
          </cell>
          <cell r="R384">
            <v>250</v>
          </cell>
          <cell r="S384">
            <v>0</v>
          </cell>
          <cell r="T384">
            <v>7.29</v>
          </cell>
          <cell r="W384">
            <v>20.48</v>
          </cell>
          <cell r="X384">
            <v>201</v>
          </cell>
          <cell r="Y384">
            <v>0</v>
          </cell>
        </row>
        <row r="385">
          <cell r="B385" t="str">
            <v>Heu, 2. S.</v>
          </cell>
          <cell r="C385">
            <v>81155</v>
          </cell>
          <cell r="D385">
            <v>2013</v>
          </cell>
          <cell r="E385">
            <v>92</v>
          </cell>
          <cell r="F385">
            <v>154</v>
          </cell>
          <cell r="G385">
            <v>296</v>
          </cell>
          <cell r="H385">
            <v>22</v>
          </cell>
          <cell r="I385">
            <v>84</v>
          </cell>
          <cell r="J385">
            <v>328</v>
          </cell>
          <cell r="K385">
            <v>488</v>
          </cell>
          <cell r="L385">
            <v>5.3</v>
          </cell>
          <cell r="M385">
            <v>27.6</v>
          </cell>
          <cell r="N385">
            <v>5.5</v>
          </cell>
          <cell r="O385">
            <v>2</v>
          </cell>
          <cell r="P385">
            <v>2.1</v>
          </cell>
          <cell r="R385">
            <v>141</v>
          </cell>
          <cell r="S385">
            <v>0</v>
          </cell>
          <cell r="T385">
            <v>5.9</v>
          </cell>
          <cell r="U385">
            <v>3.08</v>
          </cell>
          <cell r="W385">
            <v>2.08</v>
          </cell>
          <cell r="X385">
            <v>252</v>
          </cell>
          <cell r="Y385">
            <v>0</v>
          </cell>
        </row>
        <row r="386">
          <cell r="B386" t="str">
            <v>Stroh, Gerste</v>
          </cell>
          <cell r="C386">
            <v>81156</v>
          </cell>
          <cell r="D386">
            <v>2013</v>
          </cell>
          <cell r="E386">
            <v>93.1</v>
          </cell>
          <cell r="F386">
            <v>35</v>
          </cell>
          <cell r="G386">
            <v>480</v>
          </cell>
          <cell r="H386">
            <v>9</v>
          </cell>
          <cell r="I386">
            <v>65</v>
          </cell>
          <cell r="J386">
            <v>543</v>
          </cell>
          <cell r="K386">
            <v>788</v>
          </cell>
          <cell r="L386">
            <v>1.4</v>
          </cell>
          <cell r="M386">
            <v>21</v>
          </cell>
          <cell r="N386">
            <v>4.2</v>
          </cell>
          <cell r="O386">
            <v>0.5</v>
          </cell>
          <cell r="P386">
            <v>0.8</v>
          </cell>
          <cell r="R386">
            <v>76</v>
          </cell>
          <cell r="S386">
            <v>0</v>
          </cell>
          <cell r="T386">
            <v>3.7</v>
          </cell>
          <cell r="W386">
            <v>-6.56</v>
          </cell>
          <cell r="X386">
            <v>103</v>
          </cell>
          <cell r="Y386">
            <v>0</v>
          </cell>
        </row>
        <row r="387">
          <cell r="B387" t="str">
            <v>Silo 1</v>
          </cell>
          <cell r="C387">
            <v>81159</v>
          </cell>
          <cell r="D387">
            <v>2013</v>
          </cell>
          <cell r="E387">
            <v>36.9</v>
          </cell>
          <cell r="F387">
            <v>174</v>
          </cell>
          <cell r="G387">
            <v>311</v>
          </cell>
          <cell r="H387">
            <v>31</v>
          </cell>
          <cell r="I387">
            <v>101</v>
          </cell>
          <cell r="J387">
            <v>294</v>
          </cell>
          <cell r="K387">
            <v>384</v>
          </cell>
          <cell r="L387">
            <v>4.8</v>
          </cell>
          <cell r="M387">
            <v>15.7</v>
          </cell>
          <cell r="N387">
            <v>10.3</v>
          </cell>
          <cell r="O387">
            <v>3.6</v>
          </cell>
          <cell r="P387">
            <v>4.3</v>
          </cell>
          <cell r="R387">
            <v>141</v>
          </cell>
          <cell r="S387">
            <v>0</v>
          </cell>
          <cell r="T387">
            <v>6.27</v>
          </cell>
          <cell r="U387">
            <v>2.46</v>
          </cell>
          <cell r="V387">
            <v>32</v>
          </cell>
          <cell r="W387">
            <v>5.28</v>
          </cell>
          <cell r="X387">
            <v>310</v>
          </cell>
          <cell r="Y387">
            <v>0</v>
          </cell>
        </row>
        <row r="388">
          <cell r="B388" t="str">
            <v>Mais</v>
          </cell>
          <cell r="C388">
            <v>81160</v>
          </cell>
          <cell r="D388">
            <v>2013</v>
          </cell>
          <cell r="E388">
            <v>90</v>
          </cell>
          <cell r="F388">
            <v>76</v>
          </cell>
          <cell r="G388">
            <v>53</v>
          </cell>
          <cell r="H388">
            <v>39</v>
          </cell>
          <cell r="I388">
            <v>33</v>
          </cell>
          <cell r="J388">
            <v>58</v>
          </cell>
          <cell r="K388">
            <v>141</v>
          </cell>
          <cell r="L388">
            <v>2.8</v>
          </cell>
          <cell r="M388">
            <v>9.6999999999999993</v>
          </cell>
          <cell r="N388">
            <v>2.8</v>
          </cell>
          <cell r="O388">
            <v>0.1</v>
          </cell>
          <cell r="P388">
            <v>1.1000000000000001</v>
          </cell>
          <cell r="R388">
            <v>144</v>
          </cell>
          <cell r="S388">
            <v>0</v>
          </cell>
          <cell r="T388">
            <v>-11</v>
          </cell>
          <cell r="W388">
            <v>-10.88</v>
          </cell>
          <cell r="X388">
            <v>711</v>
          </cell>
          <cell r="Y388">
            <v>0</v>
          </cell>
        </row>
        <row r="389">
          <cell r="B389" t="str">
            <v>Silo 4</v>
          </cell>
          <cell r="C389">
            <v>81162</v>
          </cell>
          <cell r="D389">
            <v>2013</v>
          </cell>
          <cell r="E389">
            <v>27.2</v>
          </cell>
          <cell r="F389">
            <v>154</v>
          </cell>
          <cell r="G389">
            <v>300</v>
          </cell>
          <cell r="H389">
            <v>36</v>
          </cell>
          <cell r="I389">
            <v>90</v>
          </cell>
          <cell r="J389">
            <v>315</v>
          </cell>
          <cell r="K389">
            <v>456</v>
          </cell>
          <cell r="L389">
            <v>5.9</v>
          </cell>
          <cell r="M389">
            <v>21.1</v>
          </cell>
          <cell r="N389">
            <v>6.7</v>
          </cell>
          <cell r="O389">
            <v>2.1</v>
          </cell>
          <cell r="P389">
            <v>2.2000000000000002</v>
          </cell>
          <cell r="R389">
            <v>135</v>
          </cell>
          <cell r="S389">
            <v>0</v>
          </cell>
          <cell r="T389">
            <v>6.08</v>
          </cell>
          <cell r="U389">
            <v>2.88</v>
          </cell>
          <cell r="V389">
            <v>31</v>
          </cell>
          <cell r="W389">
            <v>3.04</v>
          </cell>
          <cell r="X389">
            <v>264</v>
          </cell>
          <cell r="Y389">
            <v>0</v>
          </cell>
        </row>
        <row r="390">
          <cell r="B390" t="str">
            <v>Silo 2</v>
          </cell>
          <cell r="C390">
            <v>81162</v>
          </cell>
          <cell r="D390">
            <v>2013</v>
          </cell>
          <cell r="E390">
            <v>35</v>
          </cell>
          <cell r="F390">
            <v>78</v>
          </cell>
          <cell r="G390">
            <v>199</v>
          </cell>
          <cell r="H390">
            <v>34</v>
          </cell>
          <cell r="I390">
            <v>41</v>
          </cell>
          <cell r="J390">
            <v>211</v>
          </cell>
          <cell r="K390">
            <v>408</v>
          </cell>
          <cell r="L390">
            <v>2.7</v>
          </cell>
          <cell r="M390">
            <v>12.3</v>
          </cell>
          <cell r="N390">
            <v>2.8</v>
          </cell>
          <cell r="O390">
            <v>0.1</v>
          </cell>
          <cell r="P390">
            <v>1.2</v>
          </cell>
          <cell r="R390">
            <v>133</v>
          </cell>
          <cell r="S390">
            <v>0</v>
          </cell>
          <cell r="T390">
            <v>-8.8000000000000007</v>
          </cell>
          <cell r="W390">
            <v>-8.8000000000000007</v>
          </cell>
          <cell r="X390">
            <v>439</v>
          </cell>
          <cell r="Y390">
            <v>0</v>
          </cell>
        </row>
        <row r="391">
          <cell r="B391" t="str">
            <v>Treber</v>
          </cell>
          <cell r="C391">
            <v>81163</v>
          </cell>
          <cell r="D391">
            <v>2013</v>
          </cell>
          <cell r="E391">
            <v>22.8</v>
          </cell>
          <cell r="F391">
            <v>227</v>
          </cell>
          <cell r="G391">
            <v>206</v>
          </cell>
          <cell r="H391">
            <v>74</v>
          </cell>
          <cell r="I391">
            <v>45</v>
          </cell>
          <cell r="J391">
            <v>279</v>
          </cell>
          <cell r="K391">
            <v>555</v>
          </cell>
          <cell r="L391">
            <v>8.6</v>
          </cell>
          <cell r="M391">
            <v>3.4</v>
          </cell>
          <cell r="N391">
            <v>3.8</v>
          </cell>
          <cell r="O391">
            <v>0.2</v>
          </cell>
          <cell r="P391">
            <v>2.2999999999999998</v>
          </cell>
          <cell r="R391">
            <v>196</v>
          </cell>
          <cell r="S391">
            <v>0</v>
          </cell>
          <cell r="T391">
            <v>6.58</v>
          </cell>
          <cell r="V391">
            <v>16</v>
          </cell>
          <cell r="W391">
            <v>4.96</v>
          </cell>
          <cell r="X391">
            <v>99</v>
          </cell>
          <cell r="Y391">
            <v>0</v>
          </cell>
        </row>
        <row r="392">
          <cell r="B392" t="str">
            <v>WG 50/44/4,5/1/0,5</v>
          </cell>
          <cell r="C392">
            <v>81164</v>
          </cell>
          <cell r="D392">
            <v>2013</v>
          </cell>
          <cell r="E392">
            <v>89.2</v>
          </cell>
          <cell r="F392">
            <v>120</v>
          </cell>
          <cell r="G392">
            <v>56</v>
          </cell>
          <cell r="H392">
            <v>16</v>
          </cell>
          <cell r="I392">
            <v>28</v>
          </cell>
          <cell r="J392">
            <v>69</v>
          </cell>
          <cell r="K392">
            <v>147</v>
          </cell>
          <cell r="L392">
            <v>5.2</v>
          </cell>
          <cell r="M392">
            <v>7.6</v>
          </cell>
          <cell r="N392">
            <v>2.1</v>
          </cell>
          <cell r="O392">
            <v>1.1000000000000001</v>
          </cell>
          <cell r="P392">
            <v>1.2</v>
          </cell>
          <cell r="R392">
            <v>170</v>
          </cell>
          <cell r="S392">
            <v>0</v>
          </cell>
          <cell r="T392">
            <v>8.7899999999999991</v>
          </cell>
          <cell r="W392">
            <v>-8</v>
          </cell>
          <cell r="X392">
            <v>689</v>
          </cell>
          <cell r="Y392">
            <v>0</v>
          </cell>
        </row>
        <row r="393">
          <cell r="B393" t="str">
            <v>RES</v>
          </cell>
          <cell r="C393">
            <v>81165</v>
          </cell>
          <cell r="D393">
            <v>2013</v>
          </cell>
          <cell r="E393">
            <v>87.7</v>
          </cell>
          <cell r="F393">
            <v>367</v>
          </cell>
          <cell r="G393">
            <v>165</v>
          </cell>
          <cell r="H393">
            <v>21</v>
          </cell>
          <cell r="I393">
            <v>78</v>
          </cell>
          <cell r="J393">
            <v>241</v>
          </cell>
          <cell r="K393">
            <v>326</v>
          </cell>
          <cell r="L393">
            <v>16.3</v>
          </cell>
          <cell r="M393">
            <v>15.6</v>
          </cell>
          <cell r="N393">
            <v>9.1</v>
          </cell>
          <cell r="O393">
            <v>0.6</v>
          </cell>
          <cell r="P393">
            <v>4</v>
          </cell>
          <cell r="R393">
            <v>246</v>
          </cell>
          <cell r="S393">
            <v>0</v>
          </cell>
          <cell r="T393">
            <v>7.25</v>
          </cell>
          <cell r="W393">
            <v>19.36</v>
          </cell>
          <cell r="X393">
            <v>208</v>
          </cell>
          <cell r="Y393">
            <v>0</v>
          </cell>
        </row>
        <row r="394">
          <cell r="B394" t="str">
            <v>Heu, 2. S.</v>
          </cell>
          <cell r="C394">
            <v>81166</v>
          </cell>
          <cell r="D394">
            <v>2013</v>
          </cell>
          <cell r="E394">
            <v>88.5</v>
          </cell>
          <cell r="F394">
            <v>151</v>
          </cell>
          <cell r="G394">
            <v>346</v>
          </cell>
          <cell r="H394">
            <v>15</v>
          </cell>
          <cell r="I394">
            <v>89</v>
          </cell>
          <cell r="J394">
            <v>337</v>
          </cell>
          <cell r="K394">
            <v>525</v>
          </cell>
          <cell r="L394">
            <v>4.5999999999999996</v>
          </cell>
          <cell r="M394">
            <v>27.8</v>
          </cell>
          <cell r="N394">
            <v>5.0999999999999996</v>
          </cell>
          <cell r="O394">
            <v>1</v>
          </cell>
          <cell r="P394">
            <v>2</v>
          </cell>
          <cell r="R394">
            <v>133</v>
          </cell>
          <cell r="S394">
            <v>0</v>
          </cell>
          <cell r="T394">
            <v>5.39</v>
          </cell>
          <cell r="U394">
            <v>3.3</v>
          </cell>
          <cell r="W394">
            <v>2.88</v>
          </cell>
          <cell r="X394">
            <v>220</v>
          </cell>
          <cell r="Y394">
            <v>0</v>
          </cell>
        </row>
        <row r="395">
          <cell r="B395" t="str">
            <v>Stroh, Gerste</v>
          </cell>
          <cell r="C395">
            <v>81167</v>
          </cell>
          <cell r="D395">
            <v>2013</v>
          </cell>
          <cell r="E395">
            <v>92.7</v>
          </cell>
          <cell r="F395">
            <v>25</v>
          </cell>
          <cell r="G395">
            <v>494</v>
          </cell>
          <cell r="H395">
            <v>11</v>
          </cell>
          <cell r="I395">
            <v>55</v>
          </cell>
          <cell r="J395">
            <v>542</v>
          </cell>
          <cell r="K395">
            <v>827</v>
          </cell>
          <cell r="L395">
            <v>1.1000000000000001</v>
          </cell>
          <cell r="M395">
            <v>15.6</v>
          </cell>
          <cell r="N395">
            <v>3</v>
          </cell>
          <cell r="O395">
            <v>0.1</v>
          </cell>
          <cell r="P395">
            <v>0.4</v>
          </cell>
          <cell r="R395">
            <v>71</v>
          </cell>
          <cell r="S395">
            <v>0</v>
          </cell>
          <cell r="T395">
            <v>3.74</v>
          </cell>
          <cell r="W395">
            <v>-7.36</v>
          </cell>
          <cell r="X395">
            <v>82</v>
          </cell>
          <cell r="Y395">
            <v>0</v>
          </cell>
        </row>
        <row r="396">
          <cell r="B396" t="str">
            <v>Silo 2</v>
          </cell>
          <cell r="C396">
            <v>81170</v>
          </cell>
          <cell r="D396">
            <v>2013</v>
          </cell>
          <cell r="S396">
            <v>0</v>
          </cell>
          <cell r="V396">
            <v>9</v>
          </cell>
          <cell r="W396">
            <v>0</v>
          </cell>
          <cell r="X396">
            <v>1000</v>
          </cell>
          <cell r="Y396">
            <v>0</v>
          </cell>
        </row>
        <row r="397">
          <cell r="B397" t="str">
            <v>Silo 6</v>
          </cell>
          <cell r="C397">
            <v>81171</v>
          </cell>
          <cell r="D397">
            <v>2013</v>
          </cell>
          <cell r="E397">
            <v>35.200000000000003</v>
          </cell>
          <cell r="F397">
            <v>74</v>
          </cell>
          <cell r="G397">
            <v>212</v>
          </cell>
          <cell r="H397">
            <v>39</v>
          </cell>
          <cell r="I397">
            <v>38</v>
          </cell>
          <cell r="J397">
            <v>205</v>
          </cell>
          <cell r="K397">
            <v>400</v>
          </cell>
          <cell r="L397">
            <v>2.8</v>
          </cell>
          <cell r="M397">
            <v>11.5</v>
          </cell>
          <cell r="N397">
            <v>2.2000000000000002</v>
          </cell>
          <cell r="O397">
            <v>0.1</v>
          </cell>
          <cell r="P397">
            <v>1.2</v>
          </cell>
          <cell r="R397">
            <v>135</v>
          </cell>
          <cell r="S397">
            <v>0</v>
          </cell>
          <cell r="T397">
            <v>6.89</v>
          </cell>
          <cell r="V397">
            <v>8</v>
          </cell>
          <cell r="W397">
            <v>-9.76</v>
          </cell>
          <cell r="X397">
            <v>449</v>
          </cell>
          <cell r="Y397">
            <v>0</v>
          </cell>
        </row>
        <row r="398">
          <cell r="B398" t="str">
            <v>Treber</v>
          </cell>
          <cell r="C398">
            <v>81172</v>
          </cell>
          <cell r="D398">
            <v>2013</v>
          </cell>
          <cell r="E398">
            <v>26.6</v>
          </cell>
          <cell r="F398">
            <v>238</v>
          </cell>
          <cell r="G398">
            <v>216</v>
          </cell>
          <cell r="H398">
            <v>71</v>
          </cell>
          <cell r="I398">
            <v>44</v>
          </cell>
          <cell r="J398">
            <v>308</v>
          </cell>
          <cell r="K398">
            <v>569</v>
          </cell>
          <cell r="L398">
            <v>8.3000000000000007</v>
          </cell>
          <cell r="M398">
            <v>3.8</v>
          </cell>
          <cell r="N398">
            <v>4.0999999999999996</v>
          </cell>
          <cell r="O398">
            <v>0.2</v>
          </cell>
          <cell r="P398">
            <v>2.4</v>
          </cell>
          <cell r="R398">
            <v>200</v>
          </cell>
          <cell r="S398">
            <v>0</v>
          </cell>
          <cell r="T398">
            <v>6.57</v>
          </cell>
          <cell r="W398">
            <v>6.08</v>
          </cell>
          <cell r="X398">
            <v>78</v>
          </cell>
          <cell r="Y398">
            <v>0</v>
          </cell>
        </row>
        <row r="399">
          <cell r="B399" t="str">
            <v>Silo 3</v>
          </cell>
          <cell r="C399">
            <v>81173</v>
          </cell>
          <cell r="D399">
            <v>2013</v>
          </cell>
          <cell r="E399">
            <v>36.5</v>
          </cell>
          <cell r="F399">
            <v>74</v>
          </cell>
          <cell r="G399">
            <v>187</v>
          </cell>
          <cell r="H399">
            <v>38</v>
          </cell>
          <cell r="I399">
            <v>33</v>
          </cell>
          <cell r="J399">
            <v>204</v>
          </cell>
          <cell r="K399">
            <v>333</v>
          </cell>
          <cell r="L399">
            <v>2.7</v>
          </cell>
          <cell r="M399">
            <v>10.3</v>
          </cell>
          <cell r="N399">
            <v>1.9</v>
          </cell>
          <cell r="O399">
            <v>0.1</v>
          </cell>
          <cell r="P399">
            <v>1.1000000000000001</v>
          </cell>
          <cell r="R399">
            <v>140</v>
          </cell>
          <cell r="S399">
            <v>0</v>
          </cell>
          <cell r="T399">
            <v>7.23</v>
          </cell>
          <cell r="W399">
            <v>-10.56</v>
          </cell>
          <cell r="X399">
            <v>522</v>
          </cell>
          <cell r="Y399">
            <v>0</v>
          </cell>
        </row>
        <row r="400">
          <cell r="B400" t="str">
            <v>Silo 9</v>
          </cell>
          <cell r="C400">
            <v>81174</v>
          </cell>
          <cell r="D400">
            <v>2013</v>
          </cell>
          <cell r="E400">
            <v>35.700000000000003</v>
          </cell>
          <cell r="F400">
            <v>180</v>
          </cell>
          <cell r="G400">
            <v>294</v>
          </cell>
          <cell r="H400">
            <v>38</v>
          </cell>
          <cell r="I400">
            <v>122</v>
          </cell>
          <cell r="J400">
            <v>320</v>
          </cell>
          <cell r="K400">
            <v>467</v>
          </cell>
          <cell r="L400">
            <v>5.8</v>
          </cell>
          <cell r="M400">
            <v>34.200000000000003</v>
          </cell>
          <cell r="N400">
            <v>5.5</v>
          </cell>
          <cell r="O400">
            <v>1.6</v>
          </cell>
          <cell r="P400">
            <v>2.2000000000000002</v>
          </cell>
          <cell r="R400">
            <v>136</v>
          </cell>
          <cell r="S400">
            <v>0</v>
          </cell>
          <cell r="T400">
            <v>5.9</v>
          </cell>
          <cell r="U400">
            <v>2.95</v>
          </cell>
          <cell r="W400">
            <v>7.04</v>
          </cell>
          <cell r="X400">
            <v>193</v>
          </cell>
          <cell r="Y400">
            <v>0</v>
          </cell>
        </row>
        <row r="401">
          <cell r="B401" t="str">
            <v>Treber</v>
          </cell>
          <cell r="C401">
            <v>81175</v>
          </cell>
          <cell r="D401">
            <v>2013</v>
          </cell>
          <cell r="E401">
            <v>22.8</v>
          </cell>
          <cell r="F401">
            <v>207</v>
          </cell>
          <cell r="G401">
            <v>207</v>
          </cell>
          <cell r="H401">
            <v>68</v>
          </cell>
          <cell r="I401">
            <v>50</v>
          </cell>
          <cell r="J401">
            <v>291</v>
          </cell>
          <cell r="K401">
            <v>545</v>
          </cell>
          <cell r="L401">
            <v>8.8000000000000007</v>
          </cell>
          <cell r="M401">
            <v>3.5</v>
          </cell>
          <cell r="N401">
            <v>3.9</v>
          </cell>
          <cell r="O401">
            <v>0.2</v>
          </cell>
          <cell r="P401">
            <v>2.7</v>
          </cell>
          <cell r="R401">
            <v>186</v>
          </cell>
          <cell r="S401">
            <v>0</v>
          </cell>
          <cell r="T401">
            <v>6.47</v>
          </cell>
          <cell r="W401">
            <v>3.36</v>
          </cell>
          <cell r="X401">
            <v>130</v>
          </cell>
          <cell r="Y401">
            <v>0</v>
          </cell>
        </row>
        <row r="402">
          <cell r="B402" t="str">
            <v>WGB 25,5/33/36/4,5/1/0,5</v>
          </cell>
          <cell r="C402">
            <v>81176</v>
          </cell>
          <cell r="D402">
            <v>2013</v>
          </cell>
          <cell r="E402">
            <v>89.4</v>
          </cell>
          <cell r="F402">
            <v>152</v>
          </cell>
          <cell r="G402">
            <v>166</v>
          </cell>
          <cell r="H402">
            <v>19</v>
          </cell>
          <cell r="I402">
            <v>48</v>
          </cell>
          <cell r="J402">
            <v>144</v>
          </cell>
          <cell r="K402">
            <v>191</v>
          </cell>
          <cell r="L402">
            <v>7.8</v>
          </cell>
          <cell r="M402">
            <v>9.8000000000000007</v>
          </cell>
          <cell r="N402">
            <v>4.0999999999999996</v>
          </cell>
          <cell r="O402">
            <v>1.8</v>
          </cell>
          <cell r="P402">
            <v>2.1</v>
          </cell>
          <cell r="R402">
            <v>166</v>
          </cell>
          <cell r="S402">
            <v>0</v>
          </cell>
          <cell r="T402">
            <v>8.1</v>
          </cell>
          <cell r="W402">
            <v>-2.2400000000000002</v>
          </cell>
          <cell r="X402">
            <v>590</v>
          </cell>
          <cell r="Y402">
            <v>0</v>
          </cell>
        </row>
        <row r="403">
          <cell r="B403" t="str">
            <v>WG 50/44/4,5/1/0,5</v>
          </cell>
          <cell r="C403">
            <v>81177</v>
          </cell>
          <cell r="D403">
            <v>2013</v>
          </cell>
          <cell r="E403">
            <v>90.7</v>
          </cell>
          <cell r="F403">
            <v>100</v>
          </cell>
          <cell r="G403">
            <v>167</v>
          </cell>
          <cell r="H403">
            <v>23</v>
          </cell>
          <cell r="I403">
            <v>212</v>
          </cell>
          <cell r="J403">
            <v>83</v>
          </cell>
          <cell r="K403">
            <v>115</v>
          </cell>
          <cell r="L403">
            <v>13.2</v>
          </cell>
          <cell r="M403">
            <v>6.7</v>
          </cell>
          <cell r="N403">
            <v>30.5</v>
          </cell>
          <cell r="O403">
            <v>14.6</v>
          </cell>
          <cell r="P403">
            <v>4.5</v>
          </cell>
          <cell r="R403">
            <v>131</v>
          </cell>
          <cell r="S403">
            <v>0</v>
          </cell>
          <cell r="T403">
            <v>6.53</v>
          </cell>
          <cell r="W403">
            <v>-4.96</v>
          </cell>
          <cell r="X403">
            <v>550</v>
          </cell>
          <cell r="Y403">
            <v>0</v>
          </cell>
        </row>
        <row r="404">
          <cell r="B404" t="str">
            <v>RES</v>
          </cell>
          <cell r="C404">
            <v>81178</v>
          </cell>
          <cell r="D404">
            <v>2013</v>
          </cell>
          <cell r="E404">
            <v>87.6</v>
          </cell>
          <cell r="F404">
            <v>386</v>
          </cell>
          <cell r="G404">
            <v>164</v>
          </cell>
          <cell r="H404">
            <v>20</v>
          </cell>
          <cell r="I404">
            <v>80</v>
          </cell>
          <cell r="J404">
            <v>242</v>
          </cell>
          <cell r="K404">
            <v>327</v>
          </cell>
          <cell r="L404">
            <v>16.899999999999999</v>
          </cell>
          <cell r="M404">
            <v>15.6</v>
          </cell>
          <cell r="N404">
            <v>7.4</v>
          </cell>
          <cell r="O404">
            <v>0.5</v>
          </cell>
          <cell r="P404">
            <v>4.5999999999999996</v>
          </cell>
          <cell r="R404">
            <v>253</v>
          </cell>
          <cell r="S404">
            <v>0</v>
          </cell>
          <cell r="T404">
            <v>7.25</v>
          </cell>
          <cell r="W404">
            <v>21.28</v>
          </cell>
          <cell r="X404">
            <v>187</v>
          </cell>
          <cell r="Y404">
            <v>0</v>
          </cell>
        </row>
        <row r="405">
          <cell r="B405" t="str">
            <v>Heu, 2. S.</v>
          </cell>
          <cell r="C405">
            <v>81179</v>
          </cell>
          <cell r="D405">
            <v>2013</v>
          </cell>
          <cell r="E405">
            <v>91</v>
          </cell>
          <cell r="F405">
            <v>130</v>
          </cell>
          <cell r="G405">
            <v>293</v>
          </cell>
          <cell r="H405">
            <v>21</v>
          </cell>
          <cell r="I405">
            <v>88</v>
          </cell>
          <cell r="J405">
            <v>282</v>
          </cell>
          <cell r="K405">
            <v>485</v>
          </cell>
          <cell r="L405">
            <v>5.0999999999999996</v>
          </cell>
          <cell r="M405">
            <v>28.7</v>
          </cell>
          <cell r="N405">
            <v>5.0999999999999996</v>
          </cell>
          <cell r="O405">
            <v>1.3</v>
          </cell>
          <cell r="P405">
            <v>1.9</v>
          </cell>
          <cell r="R405">
            <v>140</v>
          </cell>
          <cell r="S405">
            <v>0</v>
          </cell>
          <cell r="T405">
            <v>6.25</v>
          </cell>
          <cell r="U405">
            <v>3.06</v>
          </cell>
          <cell r="W405">
            <v>-1.6</v>
          </cell>
          <cell r="X405">
            <v>276</v>
          </cell>
          <cell r="Y405">
            <v>0</v>
          </cell>
        </row>
        <row r="406">
          <cell r="B406" t="str">
            <v>Stroh, Gerste</v>
          </cell>
          <cell r="C406">
            <v>81180</v>
          </cell>
          <cell r="D406">
            <v>2013</v>
          </cell>
          <cell r="E406">
            <v>92.8</v>
          </cell>
          <cell r="F406">
            <v>27</v>
          </cell>
          <cell r="G406">
            <v>467</v>
          </cell>
          <cell r="H406">
            <v>9</v>
          </cell>
          <cell r="I406">
            <v>59</v>
          </cell>
          <cell r="J406">
            <v>546</v>
          </cell>
          <cell r="K406">
            <v>829</v>
          </cell>
          <cell r="L406">
            <v>1.6</v>
          </cell>
          <cell r="M406">
            <v>16.100000000000001</v>
          </cell>
          <cell r="N406">
            <v>3.1</v>
          </cell>
          <cell r="O406">
            <v>0.2</v>
          </cell>
          <cell r="P406">
            <v>0.4</v>
          </cell>
          <cell r="R406">
            <v>72</v>
          </cell>
          <cell r="S406">
            <v>0</v>
          </cell>
          <cell r="T406">
            <v>3.74</v>
          </cell>
          <cell r="W406">
            <v>-7.2</v>
          </cell>
          <cell r="X406">
            <v>76</v>
          </cell>
          <cell r="Y406">
            <v>0</v>
          </cell>
        </row>
        <row r="407">
          <cell r="B407" t="str">
            <v>Silo 3</v>
          </cell>
          <cell r="C407">
            <v>81183</v>
          </cell>
          <cell r="D407">
            <v>2013</v>
          </cell>
          <cell r="E407">
            <v>36.1</v>
          </cell>
          <cell r="F407">
            <v>90</v>
          </cell>
          <cell r="G407">
            <v>195</v>
          </cell>
          <cell r="H407">
            <v>48</v>
          </cell>
          <cell r="I407">
            <v>36</v>
          </cell>
          <cell r="J407">
            <v>196</v>
          </cell>
          <cell r="K407">
            <v>310</v>
          </cell>
          <cell r="L407">
            <v>3.2</v>
          </cell>
          <cell r="M407">
            <v>8.8000000000000007</v>
          </cell>
          <cell r="N407">
            <v>2</v>
          </cell>
          <cell r="O407">
            <v>0.1</v>
          </cell>
          <cell r="P407">
            <v>1.1000000000000001</v>
          </cell>
          <cell r="R407">
            <v>149</v>
          </cell>
          <cell r="S407">
            <v>0</v>
          </cell>
          <cell r="T407">
            <v>7.65</v>
          </cell>
          <cell r="U407">
            <v>1.29</v>
          </cell>
          <cell r="V407">
            <v>6</v>
          </cell>
          <cell r="W407">
            <v>-9.44</v>
          </cell>
          <cell r="X407">
            <v>516</v>
          </cell>
          <cell r="Y407">
            <v>0</v>
          </cell>
        </row>
        <row r="408">
          <cell r="B408" t="str">
            <v>Silo 3</v>
          </cell>
          <cell r="C408">
            <v>81183</v>
          </cell>
          <cell r="D408">
            <v>2013</v>
          </cell>
          <cell r="S408">
            <v>0</v>
          </cell>
          <cell r="W408">
            <v>0</v>
          </cell>
          <cell r="Y408">
            <v>0</v>
          </cell>
        </row>
        <row r="409">
          <cell r="B409" t="str">
            <v>Silo 9</v>
          </cell>
          <cell r="C409">
            <v>81184</v>
          </cell>
          <cell r="D409">
            <v>2013</v>
          </cell>
          <cell r="E409">
            <v>35.6</v>
          </cell>
          <cell r="F409">
            <v>175</v>
          </cell>
          <cell r="G409">
            <v>301</v>
          </cell>
          <cell r="H409">
            <v>37</v>
          </cell>
          <cell r="I409">
            <v>124</v>
          </cell>
          <cell r="J409">
            <v>318</v>
          </cell>
          <cell r="K409">
            <v>489</v>
          </cell>
          <cell r="L409">
            <v>5.5</v>
          </cell>
          <cell r="M409">
            <v>32.299999999999997</v>
          </cell>
          <cell r="N409">
            <v>5.4</v>
          </cell>
          <cell r="O409">
            <v>1.5</v>
          </cell>
          <cell r="P409">
            <v>2.1</v>
          </cell>
          <cell r="R409">
            <v>132</v>
          </cell>
          <cell r="S409">
            <v>0</v>
          </cell>
          <cell r="T409">
            <v>5.73</v>
          </cell>
          <cell r="U409">
            <v>3.08</v>
          </cell>
          <cell r="V409">
            <v>24</v>
          </cell>
          <cell r="W409">
            <v>6.88</v>
          </cell>
          <cell r="X409">
            <v>175</v>
          </cell>
          <cell r="Y409">
            <v>0</v>
          </cell>
        </row>
        <row r="410">
          <cell r="B410" t="str">
            <v>Treber</v>
          </cell>
          <cell r="C410">
            <v>81185</v>
          </cell>
          <cell r="D410">
            <v>2013</v>
          </cell>
          <cell r="E410">
            <v>22.4</v>
          </cell>
          <cell r="F410">
            <v>220</v>
          </cell>
          <cell r="G410">
            <v>195</v>
          </cell>
          <cell r="H410">
            <v>74</v>
          </cell>
          <cell r="I410">
            <v>48</v>
          </cell>
          <cell r="J410">
            <v>283</v>
          </cell>
          <cell r="K410">
            <v>574</v>
          </cell>
          <cell r="L410">
            <v>9.1999999999999993</v>
          </cell>
          <cell r="M410">
            <v>1.8</v>
          </cell>
          <cell r="N410">
            <v>3.8</v>
          </cell>
          <cell r="O410">
            <v>0.2</v>
          </cell>
          <cell r="P410">
            <v>2.5</v>
          </cell>
          <cell r="R410">
            <v>192</v>
          </cell>
          <cell r="S410">
            <v>0</v>
          </cell>
          <cell r="T410">
            <v>6.56</v>
          </cell>
          <cell r="V410">
            <v>76</v>
          </cell>
          <cell r="W410">
            <v>4.4800000000000004</v>
          </cell>
          <cell r="X410">
            <v>84</v>
          </cell>
          <cell r="Y410">
            <v>0</v>
          </cell>
        </row>
        <row r="411">
          <cell r="B411" t="str">
            <v>WGB 25,5/33/36/4,5/1/0,5</v>
          </cell>
          <cell r="C411">
            <v>81186</v>
          </cell>
          <cell r="D411">
            <v>2013</v>
          </cell>
          <cell r="E411">
            <v>89.2</v>
          </cell>
          <cell r="F411">
            <v>156</v>
          </cell>
          <cell r="G411">
            <v>171</v>
          </cell>
          <cell r="H411">
            <v>22</v>
          </cell>
          <cell r="I411">
            <v>68</v>
          </cell>
          <cell r="J411">
            <v>128</v>
          </cell>
          <cell r="K411">
            <v>190</v>
          </cell>
          <cell r="L411">
            <v>8.6999999999999993</v>
          </cell>
          <cell r="M411">
            <v>9</v>
          </cell>
          <cell r="N411">
            <v>7.8</v>
          </cell>
          <cell r="O411">
            <v>3.6</v>
          </cell>
          <cell r="P411">
            <v>2.7</v>
          </cell>
          <cell r="R411">
            <v>166</v>
          </cell>
          <cell r="S411">
            <v>0</v>
          </cell>
          <cell r="T411">
            <v>8</v>
          </cell>
          <cell r="W411">
            <v>-1.6</v>
          </cell>
          <cell r="X411">
            <v>564</v>
          </cell>
          <cell r="Y411">
            <v>0</v>
          </cell>
        </row>
        <row r="412">
          <cell r="B412" t="str">
            <v>WG 50/44/4,5/1/0,5</v>
          </cell>
          <cell r="C412">
            <v>81187</v>
          </cell>
          <cell r="D412">
            <v>2013</v>
          </cell>
          <cell r="E412">
            <v>90.2</v>
          </cell>
          <cell r="F412">
            <v>105</v>
          </cell>
          <cell r="G412">
            <v>251</v>
          </cell>
          <cell r="H412">
            <v>20</v>
          </cell>
          <cell r="I412">
            <v>143</v>
          </cell>
          <cell r="J412">
            <v>82</v>
          </cell>
          <cell r="K412">
            <v>143</v>
          </cell>
          <cell r="L412">
            <v>12</v>
          </cell>
          <cell r="M412">
            <v>5.8</v>
          </cell>
          <cell r="N412">
            <v>20.8</v>
          </cell>
          <cell r="O412">
            <v>9.8000000000000007</v>
          </cell>
          <cell r="P412">
            <v>5</v>
          </cell>
          <cell r="R412">
            <v>143</v>
          </cell>
          <cell r="S412">
            <v>0</v>
          </cell>
          <cell r="T412">
            <v>7.21</v>
          </cell>
          <cell r="W412">
            <v>-6.08</v>
          </cell>
          <cell r="X412">
            <v>589</v>
          </cell>
          <cell r="Y412">
            <v>0</v>
          </cell>
        </row>
        <row r="413">
          <cell r="B413" t="str">
            <v>RES</v>
          </cell>
          <cell r="C413">
            <v>81188</v>
          </cell>
          <cell r="D413">
            <v>2014</v>
          </cell>
          <cell r="E413">
            <v>88.6</v>
          </cell>
          <cell r="F413">
            <v>383</v>
          </cell>
          <cell r="G413">
            <v>161</v>
          </cell>
          <cell r="H413">
            <v>22</v>
          </cell>
          <cell r="I413">
            <v>78</v>
          </cell>
          <cell r="J413">
            <v>248</v>
          </cell>
          <cell r="K413">
            <v>328</v>
          </cell>
          <cell r="L413">
            <v>17.3</v>
          </cell>
          <cell r="M413">
            <v>13.7</v>
          </cell>
          <cell r="N413">
            <v>7.7</v>
          </cell>
          <cell r="O413">
            <v>0.5</v>
          </cell>
          <cell r="P413">
            <v>4.5</v>
          </cell>
          <cell r="R413">
            <v>252</v>
          </cell>
          <cell r="S413">
            <v>0</v>
          </cell>
          <cell r="T413">
            <v>7.28</v>
          </cell>
          <cell r="W413">
            <v>20.96</v>
          </cell>
          <cell r="X413">
            <v>189</v>
          </cell>
          <cell r="Y413">
            <v>0</v>
          </cell>
        </row>
        <row r="414">
          <cell r="B414" t="str">
            <v>Heu, 2. S.</v>
          </cell>
          <cell r="C414">
            <v>81189</v>
          </cell>
          <cell r="D414">
            <v>2013</v>
          </cell>
          <cell r="E414">
            <v>88.3</v>
          </cell>
          <cell r="F414">
            <v>152</v>
          </cell>
          <cell r="G414">
            <v>328</v>
          </cell>
          <cell r="H414">
            <v>19</v>
          </cell>
          <cell r="I414">
            <v>93</v>
          </cell>
          <cell r="J414">
            <v>349</v>
          </cell>
          <cell r="K414">
            <v>509</v>
          </cell>
          <cell r="L414">
            <v>4.5</v>
          </cell>
          <cell r="M414">
            <v>22.2</v>
          </cell>
          <cell r="N414">
            <v>4.8</v>
          </cell>
          <cell r="O414">
            <v>0.8</v>
          </cell>
          <cell r="P414">
            <v>1.9</v>
          </cell>
          <cell r="R414">
            <v>134</v>
          </cell>
          <cell r="S414">
            <v>0</v>
          </cell>
          <cell r="T414">
            <v>5.47</v>
          </cell>
          <cell r="W414">
            <v>2.88</v>
          </cell>
          <cell r="X414">
            <v>227</v>
          </cell>
          <cell r="Y414">
            <v>0</v>
          </cell>
        </row>
        <row r="415">
          <cell r="B415" t="str">
            <v>Stroh, Gerste</v>
          </cell>
          <cell r="C415">
            <v>81190</v>
          </cell>
          <cell r="D415">
            <v>2013</v>
          </cell>
          <cell r="E415">
            <v>91.7</v>
          </cell>
          <cell r="F415">
            <v>25</v>
          </cell>
          <cell r="G415">
            <v>493</v>
          </cell>
          <cell r="H415">
            <v>12</v>
          </cell>
          <cell r="I415">
            <v>51</v>
          </cell>
          <cell r="J415">
            <v>551</v>
          </cell>
          <cell r="K415">
            <v>833</v>
          </cell>
          <cell r="L415">
            <v>1.4</v>
          </cell>
          <cell r="M415">
            <v>11.6</v>
          </cell>
          <cell r="N415">
            <v>2.2000000000000002</v>
          </cell>
          <cell r="O415">
            <v>0.1</v>
          </cell>
          <cell r="P415">
            <v>0.3</v>
          </cell>
          <cell r="R415">
            <v>72</v>
          </cell>
          <cell r="S415">
            <v>0</v>
          </cell>
          <cell r="T415">
            <v>3.77</v>
          </cell>
          <cell r="W415">
            <v>-7.52</v>
          </cell>
          <cell r="X415">
            <v>79</v>
          </cell>
          <cell r="Y415">
            <v>0</v>
          </cell>
        </row>
        <row r="416">
          <cell r="B416" t="str">
            <v>Treber</v>
          </cell>
          <cell r="C416">
            <v>81193</v>
          </cell>
          <cell r="D416">
            <v>2013</v>
          </cell>
          <cell r="E416">
            <v>19.5</v>
          </cell>
          <cell r="F416">
            <v>251</v>
          </cell>
          <cell r="G416">
            <v>215</v>
          </cell>
          <cell r="H416">
            <v>67</v>
          </cell>
          <cell r="I416">
            <v>42</v>
          </cell>
          <cell r="J416">
            <v>303</v>
          </cell>
          <cell r="K416">
            <v>545</v>
          </cell>
          <cell r="L416">
            <v>8.3000000000000007</v>
          </cell>
          <cell r="M416">
            <v>3.8</v>
          </cell>
          <cell r="N416">
            <v>5.4</v>
          </cell>
          <cell r="O416">
            <v>0.1</v>
          </cell>
          <cell r="P416">
            <v>1.9</v>
          </cell>
          <cell r="R416">
            <v>205</v>
          </cell>
          <cell r="S416">
            <v>0</v>
          </cell>
          <cell r="T416">
            <v>6.55</v>
          </cell>
          <cell r="W416">
            <v>7.36</v>
          </cell>
          <cell r="X416">
            <v>95</v>
          </cell>
          <cell r="Y416">
            <v>0</v>
          </cell>
        </row>
        <row r="417">
          <cell r="B417" t="str">
            <v>Gerste</v>
          </cell>
          <cell r="C417">
            <v>81194</v>
          </cell>
          <cell r="D417">
            <v>2013</v>
          </cell>
          <cell r="E417">
            <v>90.5</v>
          </cell>
          <cell r="F417">
            <v>91</v>
          </cell>
          <cell r="G417">
            <v>71</v>
          </cell>
          <cell r="H417">
            <v>25</v>
          </cell>
          <cell r="I417">
            <v>32</v>
          </cell>
          <cell r="J417">
            <v>83</v>
          </cell>
          <cell r="K417">
            <v>226</v>
          </cell>
          <cell r="L417">
            <v>5.0999999999999996</v>
          </cell>
          <cell r="M417">
            <v>9.4</v>
          </cell>
          <cell r="N417">
            <v>1.2</v>
          </cell>
          <cell r="O417">
            <v>0.1</v>
          </cell>
          <cell r="P417">
            <v>1.1000000000000001</v>
          </cell>
          <cell r="Q417">
            <v>0.25</v>
          </cell>
          <cell r="R417">
            <v>152</v>
          </cell>
          <cell r="S417">
            <v>12.6</v>
          </cell>
          <cell r="T417">
            <v>7.9</v>
          </cell>
          <cell r="U417">
            <v>-0.11</v>
          </cell>
          <cell r="W417">
            <v>-9.76</v>
          </cell>
          <cell r="X417">
            <v>626</v>
          </cell>
          <cell r="Y417">
            <v>0</v>
          </cell>
        </row>
        <row r="418">
          <cell r="B418" t="str">
            <v>Weizen</v>
          </cell>
          <cell r="C418">
            <v>81195</v>
          </cell>
          <cell r="D418">
            <v>2013</v>
          </cell>
          <cell r="E418">
            <v>89.1</v>
          </cell>
          <cell r="F418">
            <v>156</v>
          </cell>
          <cell r="G418">
            <v>42</v>
          </cell>
          <cell r="H418">
            <v>31</v>
          </cell>
          <cell r="I418">
            <v>24</v>
          </cell>
          <cell r="J418">
            <v>73</v>
          </cell>
          <cell r="K418">
            <v>162</v>
          </cell>
          <cell r="L418">
            <v>6.4</v>
          </cell>
          <cell r="M418">
            <v>6.3</v>
          </cell>
          <cell r="N418">
            <v>0.8</v>
          </cell>
          <cell r="O418">
            <v>0.1</v>
          </cell>
          <cell r="P418">
            <v>1.6</v>
          </cell>
          <cell r="Q418">
            <v>0.2</v>
          </cell>
          <cell r="R418">
            <v>175</v>
          </cell>
          <cell r="S418">
            <v>13.52</v>
          </cell>
          <cell r="T418">
            <v>8.58</v>
          </cell>
          <cell r="U418">
            <v>-0.19</v>
          </cell>
          <cell r="W418">
            <v>-3.04</v>
          </cell>
          <cell r="X418">
            <v>627</v>
          </cell>
          <cell r="Y418">
            <v>0</v>
          </cell>
        </row>
        <row r="419">
          <cell r="B419" t="str">
            <v>Ackerbohnen</v>
          </cell>
          <cell r="C419">
            <v>81196</v>
          </cell>
          <cell r="D419">
            <v>2013</v>
          </cell>
          <cell r="E419">
            <v>87.9</v>
          </cell>
          <cell r="F419">
            <v>271</v>
          </cell>
          <cell r="G419">
            <v>106</v>
          </cell>
          <cell r="H419">
            <v>15</v>
          </cell>
          <cell r="I419">
            <v>41</v>
          </cell>
          <cell r="J419">
            <v>153</v>
          </cell>
          <cell r="K419">
            <v>233</v>
          </cell>
          <cell r="L419">
            <v>8.6</v>
          </cell>
          <cell r="M419">
            <v>14.4</v>
          </cell>
          <cell r="N419">
            <v>1.5</v>
          </cell>
          <cell r="O419">
            <v>0.1</v>
          </cell>
          <cell r="P419">
            <v>1.5</v>
          </cell>
          <cell r="Q419">
            <v>0.15</v>
          </cell>
          <cell r="R419">
            <v>190</v>
          </cell>
          <cell r="S419">
            <v>13.54</v>
          </cell>
          <cell r="T419">
            <v>8.57</v>
          </cell>
          <cell r="U419">
            <v>0.19</v>
          </cell>
          <cell r="W419">
            <v>12.96</v>
          </cell>
          <cell r="X419">
            <v>440</v>
          </cell>
          <cell r="Y419">
            <v>0</v>
          </cell>
        </row>
        <row r="420">
          <cell r="B420" t="str">
            <v>Silo 2M</v>
          </cell>
          <cell r="C420">
            <v>81197</v>
          </cell>
          <cell r="D420">
            <v>2013</v>
          </cell>
          <cell r="E420">
            <v>35.200000000000003</v>
          </cell>
          <cell r="F420">
            <v>74</v>
          </cell>
          <cell r="G420">
            <v>204</v>
          </cell>
          <cell r="H420">
            <v>32</v>
          </cell>
          <cell r="I420">
            <v>36</v>
          </cell>
          <cell r="J420">
            <v>212</v>
          </cell>
          <cell r="K420">
            <v>329</v>
          </cell>
          <cell r="L420">
            <v>2.2999999999999998</v>
          </cell>
          <cell r="M420">
            <v>9.8000000000000007</v>
          </cell>
          <cell r="N420">
            <v>2.2000000000000002</v>
          </cell>
          <cell r="O420">
            <v>0.1</v>
          </cell>
          <cell r="P420">
            <v>1.1000000000000001</v>
          </cell>
          <cell r="R420">
            <v>138</v>
          </cell>
          <cell r="S420">
            <v>0</v>
          </cell>
          <cell r="T420">
            <v>7.08</v>
          </cell>
          <cell r="U420">
            <v>1.41</v>
          </cell>
          <cell r="W420">
            <v>-10.24</v>
          </cell>
          <cell r="X420">
            <v>529</v>
          </cell>
          <cell r="Y420">
            <v>0</v>
          </cell>
        </row>
        <row r="421">
          <cell r="B421" t="str">
            <v>Silo 9</v>
          </cell>
          <cell r="C421">
            <v>81198</v>
          </cell>
          <cell r="D421">
            <v>2013</v>
          </cell>
          <cell r="E421">
            <v>35.700000000000003</v>
          </cell>
          <cell r="F421">
            <v>198</v>
          </cell>
          <cell r="G421">
            <v>292</v>
          </cell>
          <cell r="H421">
            <v>37</v>
          </cell>
          <cell r="I421">
            <v>123</v>
          </cell>
          <cell r="J421">
            <v>324</v>
          </cell>
          <cell r="K421">
            <v>449</v>
          </cell>
          <cell r="L421">
            <v>5.3</v>
          </cell>
          <cell r="M421">
            <v>33.700000000000003</v>
          </cell>
          <cell r="N421">
            <v>5.4</v>
          </cell>
          <cell r="O421">
            <v>2.5</v>
          </cell>
          <cell r="P421">
            <v>2.1</v>
          </cell>
          <cell r="R421">
            <v>138</v>
          </cell>
          <cell r="S421">
            <v>0</v>
          </cell>
          <cell r="T421">
            <v>5.9</v>
          </cell>
          <cell r="U421">
            <v>2.84</v>
          </cell>
          <cell r="W421">
            <v>9.6</v>
          </cell>
          <cell r="X421">
            <v>193</v>
          </cell>
          <cell r="Y421">
            <v>0</v>
          </cell>
        </row>
        <row r="422">
          <cell r="B422" t="str">
            <v>Treber</v>
          </cell>
          <cell r="C422">
            <v>81199</v>
          </cell>
          <cell r="D422">
            <v>2013</v>
          </cell>
          <cell r="E422">
            <v>23.8</v>
          </cell>
          <cell r="F422">
            <v>242</v>
          </cell>
          <cell r="G422">
            <v>198</v>
          </cell>
          <cell r="H422">
            <v>73</v>
          </cell>
          <cell r="I422">
            <v>47</v>
          </cell>
          <cell r="J422">
            <v>277</v>
          </cell>
          <cell r="K422">
            <v>548</v>
          </cell>
          <cell r="L422">
            <v>8.9</v>
          </cell>
          <cell r="M422">
            <v>1.6</v>
          </cell>
          <cell r="N422">
            <v>3.8</v>
          </cell>
          <cell r="O422">
            <v>0.2</v>
          </cell>
          <cell r="P422">
            <v>2.2999999999999998</v>
          </cell>
          <cell r="R422">
            <v>202</v>
          </cell>
          <cell r="S422">
            <v>0</v>
          </cell>
          <cell r="T422">
            <v>6.58</v>
          </cell>
          <cell r="W422">
            <v>6.4</v>
          </cell>
          <cell r="X422">
            <v>90</v>
          </cell>
          <cell r="Y422">
            <v>0</v>
          </cell>
        </row>
        <row r="423">
          <cell r="B423" t="str">
            <v>WG 50/44/4,5/1/0,5</v>
          </cell>
          <cell r="C423">
            <v>81200</v>
          </cell>
          <cell r="D423">
            <v>2013</v>
          </cell>
          <cell r="E423">
            <v>89.7</v>
          </cell>
          <cell r="F423">
            <v>119</v>
          </cell>
          <cell r="G423">
            <v>63</v>
          </cell>
          <cell r="H423">
            <v>20</v>
          </cell>
          <cell r="I423">
            <v>88</v>
          </cell>
          <cell r="J423">
            <v>81</v>
          </cell>
          <cell r="K423">
            <v>133</v>
          </cell>
          <cell r="L423">
            <v>5.7</v>
          </cell>
          <cell r="M423">
            <v>7</v>
          </cell>
          <cell r="N423">
            <v>13.9</v>
          </cell>
          <cell r="O423">
            <v>8.1999999999999993</v>
          </cell>
          <cell r="P423">
            <v>1.4</v>
          </cell>
          <cell r="R423">
            <v>159</v>
          </cell>
          <cell r="S423">
            <v>0</v>
          </cell>
          <cell r="T423">
            <v>8.08</v>
          </cell>
          <cell r="W423">
            <v>-6.4</v>
          </cell>
          <cell r="X423">
            <v>640</v>
          </cell>
          <cell r="Y423">
            <v>0</v>
          </cell>
        </row>
        <row r="424">
          <cell r="B424" t="str">
            <v>RES</v>
          </cell>
          <cell r="C424">
            <v>81201</v>
          </cell>
          <cell r="D424">
            <v>2013</v>
          </cell>
          <cell r="E424">
            <v>88.6</v>
          </cell>
          <cell r="F424">
            <v>389</v>
          </cell>
          <cell r="G424">
            <v>155</v>
          </cell>
          <cell r="H424">
            <v>21</v>
          </cell>
          <cell r="I424">
            <v>78</v>
          </cell>
          <cell r="J424">
            <v>246</v>
          </cell>
          <cell r="K424">
            <v>326</v>
          </cell>
          <cell r="L424">
            <v>15.8</v>
          </cell>
          <cell r="M424">
            <v>14.4</v>
          </cell>
          <cell r="N424">
            <v>8.6999999999999993</v>
          </cell>
          <cell r="O424">
            <v>0.6</v>
          </cell>
          <cell r="P424">
            <v>4.5999999999999996</v>
          </cell>
          <cell r="R424">
            <v>254</v>
          </cell>
          <cell r="S424">
            <v>0</v>
          </cell>
          <cell r="T424">
            <v>7.28</v>
          </cell>
          <cell r="W424">
            <v>21.6</v>
          </cell>
          <cell r="X424">
            <v>186</v>
          </cell>
          <cell r="Y424">
            <v>0</v>
          </cell>
        </row>
        <row r="425">
          <cell r="B425" t="str">
            <v>Heu, 2. S.</v>
          </cell>
          <cell r="C425">
            <v>81202</v>
          </cell>
          <cell r="D425">
            <v>2013</v>
          </cell>
          <cell r="E425">
            <v>91.3</v>
          </cell>
          <cell r="F425">
            <v>170</v>
          </cell>
          <cell r="G425">
            <v>328</v>
          </cell>
          <cell r="H425">
            <v>28</v>
          </cell>
          <cell r="I425">
            <v>80</v>
          </cell>
          <cell r="J425">
            <v>334</v>
          </cell>
          <cell r="K425">
            <v>494</v>
          </cell>
          <cell r="L425">
            <v>4.4000000000000004</v>
          </cell>
          <cell r="M425">
            <v>19.8</v>
          </cell>
          <cell r="N425">
            <v>5.9</v>
          </cell>
          <cell r="O425">
            <v>1.6</v>
          </cell>
          <cell r="P425">
            <v>2.6</v>
          </cell>
          <cell r="R425">
            <v>145</v>
          </cell>
          <cell r="S425">
            <v>0</v>
          </cell>
          <cell r="T425">
            <v>5.85</v>
          </cell>
          <cell r="U425">
            <v>3.11</v>
          </cell>
          <cell r="W425">
            <v>4</v>
          </cell>
          <cell r="X425">
            <v>228</v>
          </cell>
          <cell r="Y425">
            <v>0</v>
          </cell>
        </row>
        <row r="426">
          <cell r="B426" t="str">
            <v>Stroh, Gerste</v>
          </cell>
          <cell r="C426">
            <v>81203</v>
          </cell>
          <cell r="D426">
            <v>2013</v>
          </cell>
          <cell r="E426">
            <v>90.9</v>
          </cell>
          <cell r="F426">
            <v>27</v>
          </cell>
          <cell r="G426">
            <v>483</v>
          </cell>
          <cell r="H426">
            <v>11</v>
          </cell>
          <cell r="I426">
            <v>63</v>
          </cell>
          <cell r="J426">
            <v>556</v>
          </cell>
          <cell r="K426">
            <v>809</v>
          </cell>
          <cell r="L426">
            <v>1.4</v>
          </cell>
          <cell r="M426">
            <v>13.8</v>
          </cell>
          <cell r="N426">
            <v>3.5</v>
          </cell>
          <cell r="O426">
            <v>0.4</v>
          </cell>
          <cell r="P426">
            <v>0.6</v>
          </cell>
          <cell r="R426">
            <v>72</v>
          </cell>
          <cell r="S426">
            <v>0</v>
          </cell>
          <cell r="T426">
            <v>3.72</v>
          </cell>
          <cell r="U426">
            <v>4.3</v>
          </cell>
          <cell r="W426">
            <v>-7.2</v>
          </cell>
          <cell r="X426">
            <v>90</v>
          </cell>
          <cell r="Y426">
            <v>0</v>
          </cell>
        </row>
        <row r="427">
          <cell r="B427" t="str">
            <v>Silo 7</v>
          </cell>
          <cell r="C427">
            <v>81204</v>
          </cell>
          <cell r="D427">
            <v>2013</v>
          </cell>
          <cell r="E427">
            <v>35.4</v>
          </cell>
          <cell r="F427">
            <v>86</v>
          </cell>
          <cell r="G427">
            <v>204</v>
          </cell>
          <cell r="H427">
            <v>45</v>
          </cell>
          <cell r="I427">
            <v>41</v>
          </cell>
          <cell r="J427">
            <v>221</v>
          </cell>
          <cell r="K427">
            <v>365</v>
          </cell>
          <cell r="L427">
            <v>3.1</v>
          </cell>
          <cell r="M427">
            <v>9.3000000000000007</v>
          </cell>
          <cell r="N427">
            <v>2.5</v>
          </cell>
          <cell r="O427">
            <v>0.1</v>
          </cell>
          <cell r="P427">
            <v>1.3</v>
          </cell>
          <cell r="R427">
            <v>143</v>
          </cell>
          <cell r="S427">
            <v>0</v>
          </cell>
          <cell r="T427">
            <v>6.48</v>
          </cell>
          <cell r="U427">
            <v>1.62</v>
          </cell>
          <cell r="V427">
            <v>7</v>
          </cell>
          <cell r="W427">
            <v>-9.1199999999999992</v>
          </cell>
          <cell r="X427">
            <v>463</v>
          </cell>
          <cell r="Y427">
            <v>0</v>
          </cell>
        </row>
        <row r="428">
          <cell r="B428" t="str">
            <v>Silo 8</v>
          </cell>
          <cell r="C428">
            <v>81205</v>
          </cell>
          <cell r="D428">
            <v>2013</v>
          </cell>
          <cell r="E428">
            <v>35.1</v>
          </cell>
          <cell r="F428">
            <v>77</v>
          </cell>
          <cell r="G428">
            <v>193</v>
          </cell>
          <cell r="H428">
            <v>37</v>
          </cell>
          <cell r="I428">
            <v>37</v>
          </cell>
          <cell r="J428">
            <v>210</v>
          </cell>
          <cell r="K428">
            <v>362</v>
          </cell>
          <cell r="L428">
            <v>2.6</v>
          </cell>
          <cell r="M428">
            <v>10.3</v>
          </cell>
          <cell r="N428">
            <v>2.6</v>
          </cell>
          <cell r="O428">
            <v>0.2</v>
          </cell>
          <cell r="P428">
            <v>1</v>
          </cell>
          <cell r="R428">
            <v>139</v>
          </cell>
          <cell r="S428">
            <v>0</v>
          </cell>
          <cell r="T428">
            <v>7.14</v>
          </cell>
          <cell r="U428">
            <v>1.6</v>
          </cell>
          <cell r="V428">
            <v>6</v>
          </cell>
          <cell r="W428">
            <v>-9.92</v>
          </cell>
          <cell r="X428">
            <v>487</v>
          </cell>
          <cell r="Y428">
            <v>0</v>
          </cell>
        </row>
        <row r="429">
          <cell r="B429" t="str">
            <v>Silo 2M</v>
          </cell>
          <cell r="C429">
            <v>81210</v>
          </cell>
          <cell r="D429">
            <v>2013</v>
          </cell>
          <cell r="E429">
            <v>34.5</v>
          </cell>
          <cell r="F429">
            <v>73</v>
          </cell>
          <cell r="G429">
            <v>196</v>
          </cell>
          <cell r="H429">
            <v>33</v>
          </cell>
          <cell r="I429">
            <v>38</v>
          </cell>
          <cell r="J429">
            <v>200</v>
          </cell>
          <cell r="K429">
            <v>330</v>
          </cell>
          <cell r="L429">
            <v>2.4</v>
          </cell>
          <cell r="M429">
            <v>11.3</v>
          </cell>
          <cell r="N429">
            <v>2.5</v>
          </cell>
          <cell r="O429">
            <v>0.1</v>
          </cell>
          <cell r="P429">
            <v>1</v>
          </cell>
          <cell r="R429">
            <v>138</v>
          </cell>
          <cell r="S429">
            <v>0</v>
          </cell>
          <cell r="T429">
            <v>7.15</v>
          </cell>
          <cell r="U429">
            <v>1.41</v>
          </cell>
          <cell r="W429">
            <v>-10.4</v>
          </cell>
          <cell r="X429">
            <v>526</v>
          </cell>
          <cell r="Y429">
            <v>0</v>
          </cell>
        </row>
        <row r="430">
          <cell r="B430" t="str">
            <v>Silo 9</v>
          </cell>
          <cell r="C430">
            <v>81211</v>
          </cell>
          <cell r="D430">
            <v>2013</v>
          </cell>
          <cell r="E430">
            <v>36</v>
          </cell>
          <cell r="F430">
            <v>197</v>
          </cell>
          <cell r="G430">
            <v>297</v>
          </cell>
          <cell r="H430">
            <v>44</v>
          </cell>
          <cell r="I430">
            <v>105</v>
          </cell>
          <cell r="J430">
            <v>301</v>
          </cell>
          <cell r="K430">
            <v>470</v>
          </cell>
          <cell r="L430">
            <v>5.8</v>
          </cell>
          <cell r="M430">
            <v>28.4</v>
          </cell>
          <cell r="N430">
            <v>4.2</v>
          </cell>
          <cell r="O430">
            <v>1.6</v>
          </cell>
          <cell r="P430">
            <v>1.9</v>
          </cell>
          <cell r="R430">
            <v>142</v>
          </cell>
          <cell r="S430">
            <v>0</v>
          </cell>
          <cell r="T430">
            <v>6.13</v>
          </cell>
          <cell r="U430">
            <v>2.97</v>
          </cell>
          <cell r="W430">
            <v>8.8000000000000007</v>
          </cell>
          <cell r="X430">
            <v>184</v>
          </cell>
          <cell r="Y430">
            <v>0</v>
          </cell>
        </row>
        <row r="431">
          <cell r="B431" t="str">
            <v>Treber</v>
          </cell>
          <cell r="C431">
            <v>81212</v>
          </cell>
          <cell r="D431">
            <v>2014</v>
          </cell>
          <cell r="E431">
            <v>23.6</v>
          </cell>
          <cell r="F431">
            <v>235</v>
          </cell>
          <cell r="G431">
            <v>101</v>
          </cell>
          <cell r="H431">
            <v>73</v>
          </cell>
          <cell r="I431">
            <v>48</v>
          </cell>
          <cell r="J431">
            <v>282</v>
          </cell>
          <cell r="K431">
            <v>547</v>
          </cell>
          <cell r="L431">
            <v>9.3000000000000007</v>
          </cell>
          <cell r="M431">
            <v>2</v>
          </cell>
          <cell r="N431">
            <v>4.0999999999999996</v>
          </cell>
          <cell r="O431">
            <v>0.1</v>
          </cell>
          <cell r="P431">
            <v>2.9</v>
          </cell>
          <cell r="R431">
            <v>199</v>
          </cell>
          <cell r="S431">
            <v>0</v>
          </cell>
          <cell r="T431">
            <v>6.57</v>
          </cell>
          <cell r="W431">
            <v>5.76</v>
          </cell>
          <cell r="X431">
            <v>97</v>
          </cell>
          <cell r="Y431">
            <v>0</v>
          </cell>
        </row>
        <row r="432">
          <cell r="B432" t="str">
            <v>WGB 37/47/10,5/4/1/0,5</v>
          </cell>
          <cell r="C432">
            <v>81213</v>
          </cell>
          <cell r="D432">
            <v>2014</v>
          </cell>
          <cell r="E432">
            <v>89.8</v>
          </cell>
          <cell r="F432">
            <v>121</v>
          </cell>
          <cell r="G432">
            <v>165</v>
          </cell>
          <cell r="H432">
            <v>19</v>
          </cell>
          <cell r="I432">
            <v>67</v>
          </cell>
          <cell r="J432">
            <v>117</v>
          </cell>
          <cell r="K432">
            <v>165</v>
          </cell>
          <cell r="L432">
            <v>7.8</v>
          </cell>
          <cell r="M432">
            <v>7.7</v>
          </cell>
          <cell r="N432">
            <v>8.5</v>
          </cell>
          <cell r="O432">
            <v>4.8</v>
          </cell>
          <cell r="P432">
            <v>2.7</v>
          </cell>
          <cell r="R432">
            <v>159</v>
          </cell>
          <cell r="S432">
            <v>0</v>
          </cell>
          <cell r="T432">
            <v>8.02</v>
          </cell>
          <cell r="W432">
            <v>-6.08</v>
          </cell>
          <cell r="X432">
            <v>628</v>
          </cell>
          <cell r="Y432">
            <v>0</v>
          </cell>
        </row>
        <row r="433">
          <cell r="B433" t="str">
            <v>RES</v>
          </cell>
          <cell r="C433">
            <v>81214</v>
          </cell>
          <cell r="D433">
            <v>2014</v>
          </cell>
          <cell r="E433">
            <v>88.8</v>
          </cell>
          <cell r="F433">
            <v>377</v>
          </cell>
          <cell r="G433">
            <v>161</v>
          </cell>
          <cell r="H433">
            <v>21</v>
          </cell>
          <cell r="I433">
            <v>80</v>
          </cell>
          <cell r="J433">
            <v>244</v>
          </cell>
          <cell r="K433">
            <v>324</v>
          </cell>
          <cell r="L433">
            <v>16</v>
          </cell>
          <cell r="M433">
            <v>13</v>
          </cell>
          <cell r="N433">
            <v>8.6</v>
          </cell>
          <cell r="O433">
            <v>0.5</v>
          </cell>
          <cell r="P433">
            <v>4.5999999999999996</v>
          </cell>
          <cell r="R433">
            <v>249</v>
          </cell>
          <cell r="S433">
            <v>0</v>
          </cell>
          <cell r="T433">
            <v>7.25</v>
          </cell>
          <cell r="W433">
            <v>20.48</v>
          </cell>
          <cell r="X433">
            <v>198</v>
          </cell>
          <cell r="Y433">
            <v>0</v>
          </cell>
        </row>
        <row r="434">
          <cell r="B434" t="str">
            <v>Heu, 2. S.</v>
          </cell>
          <cell r="C434">
            <v>81215</v>
          </cell>
          <cell r="D434">
            <v>2013</v>
          </cell>
          <cell r="E434">
            <v>90.5</v>
          </cell>
          <cell r="F434">
            <v>156</v>
          </cell>
          <cell r="G434">
            <v>333</v>
          </cell>
          <cell r="H434">
            <v>28</v>
          </cell>
          <cell r="I434">
            <v>78</v>
          </cell>
          <cell r="J434">
            <v>321</v>
          </cell>
          <cell r="K434">
            <v>499</v>
          </cell>
          <cell r="L434">
            <v>6.1</v>
          </cell>
          <cell r="M434">
            <v>15.5</v>
          </cell>
          <cell r="N434">
            <v>4.5999999999999996</v>
          </cell>
          <cell r="O434">
            <v>5.6</v>
          </cell>
          <cell r="P434">
            <v>2.1</v>
          </cell>
          <cell r="R434">
            <v>148</v>
          </cell>
          <cell r="S434">
            <v>0</v>
          </cell>
          <cell r="T434">
            <v>6.29</v>
          </cell>
          <cell r="U434">
            <v>3.14</v>
          </cell>
          <cell r="W434">
            <v>1.28</v>
          </cell>
          <cell r="X434">
            <v>239</v>
          </cell>
          <cell r="Y434">
            <v>0</v>
          </cell>
        </row>
        <row r="435">
          <cell r="B435" t="str">
            <v>Stroh, Gerste</v>
          </cell>
          <cell r="C435">
            <v>81216</v>
          </cell>
          <cell r="D435">
            <v>2013</v>
          </cell>
          <cell r="E435">
            <v>91.6</v>
          </cell>
          <cell r="F435">
            <v>22</v>
          </cell>
          <cell r="G435">
            <v>469</v>
          </cell>
          <cell r="H435">
            <v>11</v>
          </cell>
          <cell r="I435">
            <v>40</v>
          </cell>
          <cell r="J435">
            <v>553</v>
          </cell>
          <cell r="K435">
            <v>795</v>
          </cell>
          <cell r="L435">
            <v>1</v>
          </cell>
          <cell r="M435">
            <v>8.3000000000000007</v>
          </cell>
          <cell r="N435">
            <v>2.2000000000000002</v>
          </cell>
          <cell r="O435">
            <v>0.2</v>
          </cell>
          <cell r="P435">
            <v>0.3</v>
          </cell>
          <cell r="R435">
            <v>71</v>
          </cell>
          <cell r="S435">
            <v>0</v>
          </cell>
          <cell r="T435">
            <v>3.82</v>
          </cell>
          <cell r="W435">
            <v>-7.84</v>
          </cell>
          <cell r="X435">
            <v>132</v>
          </cell>
          <cell r="Y435">
            <v>0</v>
          </cell>
        </row>
        <row r="436">
          <cell r="B436" t="str">
            <v>Treber</v>
          </cell>
          <cell r="C436">
            <v>81219</v>
          </cell>
          <cell r="D436">
            <v>2014</v>
          </cell>
          <cell r="E436">
            <v>26.2</v>
          </cell>
          <cell r="F436">
            <v>201</v>
          </cell>
          <cell r="G436">
            <v>215</v>
          </cell>
          <cell r="H436">
            <v>86</v>
          </cell>
          <cell r="I436">
            <v>47</v>
          </cell>
          <cell r="J436">
            <v>276</v>
          </cell>
          <cell r="K436">
            <v>586</v>
          </cell>
          <cell r="L436">
            <v>8.6</v>
          </cell>
          <cell r="M436">
            <v>2</v>
          </cell>
          <cell r="N436">
            <v>3.4</v>
          </cell>
          <cell r="O436">
            <v>0.1</v>
          </cell>
          <cell r="P436">
            <v>2.1</v>
          </cell>
          <cell r="R436">
            <v>186</v>
          </cell>
          <cell r="S436">
            <v>0</v>
          </cell>
          <cell r="T436">
            <v>6.65</v>
          </cell>
          <cell r="W436">
            <v>2.4</v>
          </cell>
          <cell r="X436">
            <v>80</v>
          </cell>
          <cell r="Y436">
            <v>0</v>
          </cell>
        </row>
        <row r="437">
          <cell r="B437" t="str">
            <v>SoBlES</v>
          </cell>
          <cell r="C437">
            <v>81220</v>
          </cell>
          <cell r="D437">
            <v>2014</v>
          </cell>
          <cell r="E437">
            <v>88.8</v>
          </cell>
          <cell r="F437">
            <v>315</v>
          </cell>
          <cell r="G437">
            <v>280</v>
          </cell>
          <cell r="H437">
            <v>46</v>
          </cell>
          <cell r="I437">
            <v>69</v>
          </cell>
          <cell r="J437">
            <v>308</v>
          </cell>
          <cell r="K437">
            <v>418</v>
          </cell>
          <cell r="L437">
            <v>15.7</v>
          </cell>
          <cell r="M437">
            <v>15.7</v>
          </cell>
          <cell r="N437">
            <v>4.7</v>
          </cell>
          <cell r="O437">
            <v>0.2</v>
          </cell>
          <cell r="P437">
            <v>5.2</v>
          </cell>
          <cell r="R437">
            <v>196</v>
          </cell>
          <cell r="S437">
            <v>0</v>
          </cell>
          <cell r="T437">
            <v>6.68</v>
          </cell>
          <cell r="U437">
            <v>0.5</v>
          </cell>
          <cell r="W437">
            <v>19.04</v>
          </cell>
          <cell r="X437">
            <v>152</v>
          </cell>
          <cell r="Y437">
            <v>0</v>
          </cell>
        </row>
        <row r="438">
          <cell r="B438" t="str">
            <v>Silo 2M</v>
          </cell>
          <cell r="C438">
            <v>81223</v>
          </cell>
          <cell r="D438">
            <v>2013</v>
          </cell>
          <cell r="E438">
            <v>35.1</v>
          </cell>
          <cell r="F438">
            <v>78</v>
          </cell>
          <cell r="G438">
            <v>192</v>
          </cell>
          <cell r="H438">
            <v>35</v>
          </cell>
          <cell r="I438">
            <v>38</v>
          </cell>
          <cell r="J438">
            <v>202</v>
          </cell>
          <cell r="K438">
            <v>336</v>
          </cell>
          <cell r="L438">
            <v>2.7</v>
          </cell>
          <cell r="M438">
            <v>9.4</v>
          </cell>
          <cell r="N438">
            <v>2.6</v>
          </cell>
          <cell r="O438">
            <v>0.2</v>
          </cell>
          <cell r="P438">
            <v>1.2</v>
          </cell>
          <cell r="R438">
            <v>138</v>
          </cell>
          <cell r="S438">
            <v>0</v>
          </cell>
          <cell r="T438">
            <v>7.05</v>
          </cell>
          <cell r="U438">
            <v>1.44</v>
          </cell>
          <cell r="V438">
            <v>7</v>
          </cell>
          <cell r="W438">
            <v>-9.6</v>
          </cell>
          <cell r="X438">
            <v>513</v>
          </cell>
          <cell r="Y438">
            <v>0</v>
          </cell>
        </row>
        <row r="439">
          <cell r="B439" t="str">
            <v>Silo 9</v>
          </cell>
          <cell r="C439">
            <v>81224</v>
          </cell>
          <cell r="D439">
            <v>2013</v>
          </cell>
          <cell r="E439">
            <v>35.700000000000003</v>
          </cell>
          <cell r="F439">
            <v>182</v>
          </cell>
          <cell r="G439">
            <v>287</v>
          </cell>
          <cell r="H439">
            <v>36</v>
          </cell>
          <cell r="I439">
            <v>107</v>
          </cell>
          <cell r="J439">
            <v>290</v>
          </cell>
          <cell r="K439">
            <v>468</v>
          </cell>
          <cell r="L439">
            <v>5.5</v>
          </cell>
          <cell r="M439">
            <v>30.9</v>
          </cell>
          <cell r="N439">
            <v>4.5999999999999996</v>
          </cell>
          <cell r="O439">
            <v>1</v>
          </cell>
          <cell r="P439">
            <v>2</v>
          </cell>
          <cell r="R439">
            <v>139</v>
          </cell>
          <cell r="S439">
            <v>0</v>
          </cell>
          <cell r="T439">
            <v>6.07</v>
          </cell>
          <cell r="U439">
            <v>2.96</v>
          </cell>
          <cell r="V439">
            <v>55</v>
          </cell>
          <cell r="W439">
            <v>6.88</v>
          </cell>
          <cell r="X439">
            <v>207</v>
          </cell>
          <cell r="Y439">
            <v>0</v>
          </cell>
        </row>
        <row r="440">
          <cell r="B440" t="str">
            <v>Treber</v>
          </cell>
          <cell r="C440">
            <v>81225</v>
          </cell>
          <cell r="D440">
            <v>2014</v>
          </cell>
          <cell r="E440">
            <v>23.5</v>
          </cell>
          <cell r="F440">
            <v>241</v>
          </cell>
          <cell r="G440">
            <v>189</v>
          </cell>
          <cell r="H440">
            <v>69</v>
          </cell>
          <cell r="I440">
            <v>39</v>
          </cell>
          <cell r="J440">
            <v>260</v>
          </cell>
          <cell r="K440">
            <v>550</v>
          </cell>
          <cell r="L440">
            <v>8.9</v>
          </cell>
          <cell r="M440">
            <v>2.2999999999999998</v>
          </cell>
          <cell r="N440">
            <v>5.4</v>
          </cell>
          <cell r="O440">
            <v>0.1</v>
          </cell>
          <cell r="P440">
            <v>1.8</v>
          </cell>
          <cell r="R440">
            <v>201</v>
          </cell>
          <cell r="S440">
            <v>0</v>
          </cell>
          <cell r="T440">
            <v>6.59</v>
          </cell>
          <cell r="U440">
            <v>1.05</v>
          </cell>
          <cell r="W440">
            <v>6.4</v>
          </cell>
          <cell r="X440">
            <v>101</v>
          </cell>
          <cell r="Y440">
            <v>0</v>
          </cell>
        </row>
        <row r="441">
          <cell r="B441" t="str">
            <v>WGB 37/47/10/4/1,5/0,5</v>
          </cell>
          <cell r="C441">
            <v>81226</v>
          </cell>
          <cell r="D441">
            <v>2014</v>
          </cell>
          <cell r="E441">
            <v>89.8</v>
          </cell>
          <cell r="F441">
            <v>123</v>
          </cell>
          <cell r="G441">
            <v>73</v>
          </cell>
          <cell r="H441">
            <v>18</v>
          </cell>
          <cell r="I441">
            <v>64</v>
          </cell>
          <cell r="J441">
            <v>81</v>
          </cell>
          <cell r="K441">
            <v>193</v>
          </cell>
          <cell r="L441">
            <v>7.8</v>
          </cell>
          <cell r="M441">
            <v>8.5</v>
          </cell>
          <cell r="N441">
            <v>6</v>
          </cell>
          <cell r="O441">
            <v>4.5999999999999996</v>
          </cell>
          <cell r="P441">
            <v>2.2000000000000002</v>
          </cell>
          <cell r="R441">
            <v>160</v>
          </cell>
          <cell r="S441">
            <v>0</v>
          </cell>
          <cell r="T441">
            <v>8.1</v>
          </cell>
          <cell r="W441">
            <v>-5.92</v>
          </cell>
          <cell r="X441">
            <v>602</v>
          </cell>
          <cell r="Y441">
            <v>0</v>
          </cell>
        </row>
        <row r="442">
          <cell r="B442" t="str">
            <v>RES</v>
          </cell>
          <cell r="C442">
            <v>81227</v>
          </cell>
          <cell r="D442">
            <v>2014</v>
          </cell>
          <cell r="E442">
            <v>88.8</v>
          </cell>
          <cell r="F442">
            <v>383</v>
          </cell>
          <cell r="G442">
            <v>164</v>
          </cell>
          <cell r="H442">
            <v>21</v>
          </cell>
          <cell r="I442">
            <v>78</v>
          </cell>
          <cell r="J442">
            <v>232</v>
          </cell>
          <cell r="K442">
            <v>296</v>
          </cell>
          <cell r="L442">
            <v>17.2</v>
          </cell>
          <cell r="M442">
            <v>14.8</v>
          </cell>
          <cell r="N442">
            <v>7.3</v>
          </cell>
          <cell r="O442">
            <v>0.5</v>
          </cell>
          <cell r="P442">
            <v>5.2</v>
          </cell>
          <cell r="R442">
            <v>252</v>
          </cell>
          <cell r="S442">
            <v>0</v>
          </cell>
          <cell r="T442">
            <v>7.27</v>
          </cell>
          <cell r="W442">
            <v>20.96</v>
          </cell>
          <cell r="X442">
            <v>222</v>
          </cell>
          <cell r="Y442">
            <v>0</v>
          </cell>
        </row>
        <row r="443">
          <cell r="B443" t="str">
            <v>Heu, 2. S.</v>
          </cell>
          <cell r="C443">
            <v>81228</v>
          </cell>
          <cell r="D443">
            <v>2013</v>
          </cell>
          <cell r="E443">
            <v>90.7</v>
          </cell>
          <cell r="F443">
            <v>158</v>
          </cell>
          <cell r="G443">
            <v>299</v>
          </cell>
          <cell r="H443">
            <v>21</v>
          </cell>
          <cell r="I443">
            <v>72</v>
          </cell>
          <cell r="J443">
            <v>302</v>
          </cell>
          <cell r="K443">
            <v>496</v>
          </cell>
          <cell r="L443">
            <v>5.6</v>
          </cell>
          <cell r="M443">
            <v>17.8</v>
          </cell>
          <cell r="N443">
            <v>4.0999999999999996</v>
          </cell>
          <cell r="O443">
            <v>4.4000000000000004</v>
          </cell>
          <cell r="P443">
            <v>1.8</v>
          </cell>
          <cell r="R443">
            <v>147</v>
          </cell>
          <cell r="S443">
            <v>0</v>
          </cell>
          <cell r="T443">
            <v>6.19</v>
          </cell>
          <cell r="U443">
            <v>3.12</v>
          </cell>
          <cell r="W443">
            <v>1.76</v>
          </cell>
          <cell r="X443">
            <v>253</v>
          </cell>
          <cell r="Y443">
            <v>0</v>
          </cell>
        </row>
        <row r="444">
          <cell r="B444" t="str">
            <v>Stroh, Gerste</v>
          </cell>
          <cell r="C444">
            <v>81229</v>
          </cell>
          <cell r="D444">
            <v>2013</v>
          </cell>
          <cell r="E444">
            <v>92.7</v>
          </cell>
          <cell r="F444">
            <v>31</v>
          </cell>
          <cell r="G444">
            <v>470</v>
          </cell>
          <cell r="H444">
            <v>13</v>
          </cell>
          <cell r="I444">
            <v>52</v>
          </cell>
          <cell r="J444">
            <v>534</v>
          </cell>
          <cell r="K444">
            <v>809</v>
          </cell>
          <cell r="L444">
            <v>0.9</v>
          </cell>
          <cell r="M444">
            <v>17.2</v>
          </cell>
          <cell r="N444">
            <v>2.6</v>
          </cell>
          <cell r="O444">
            <v>0.4</v>
          </cell>
          <cell r="P444">
            <v>0.4</v>
          </cell>
          <cell r="R444">
            <v>75</v>
          </cell>
          <cell r="S444">
            <v>0</v>
          </cell>
          <cell r="T444">
            <v>3.79</v>
          </cell>
          <cell r="W444">
            <v>-7.04</v>
          </cell>
          <cell r="X444">
            <v>95</v>
          </cell>
          <cell r="Y444">
            <v>0</v>
          </cell>
        </row>
        <row r="445">
          <cell r="B445" t="str">
            <v>Pressschnitzel</v>
          </cell>
          <cell r="C445">
            <v>81230</v>
          </cell>
          <cell r="D445">
            <v>2013</v>
          </cell>
          <cell r="E445">
            <v>30.7</v>
          </cell>
          <cell r="F445">
            <v>79</v>
          </cell>
          <cell r="G445">
            <v>204</v>
          </cell>
          <cell r="H445">
            <v>5</v>
          </cell>
          <cell r="I445">
            <v>96</v>
          </cell>
          <cell r="J445">
            <v>217</v>
          </cell>
          <cell r="K445">
            <v>431</v>
          </cell>
          <cell r="L445">
            <v>1.2</v>
          </cell>
          <cell r="M445">
            <v>4.5</v>
          </cell>
          <cell r="N445">
            <v>9.3000000000000007</v>
          </cell>
          <cell r="O445">
            <v>0.3</v>
          </cell>
          <cell r="P445">
            <v>1.7</v>
          </cell>
          <cell r="R445">
            <v>138</v>
          </cell>
          <cell r="S445">
            <v>0</v>
          </cell>
          <cell r="T445">
            <v>7.15</v>
          </cell>
          <cell r="V445">
            <v>16</v>
          </cell>
          <cell r="W445">
            <v>-9.44</v>
          </cell>
          <cell r="X445">
            <v>389</v>
          </cell>
          <cell r="Y445">
            <v>0</v>
          </cell>
        </row>
        <row r="446">
          <cell r="B446" t="str">
            <v>Silo 2M</v>
          </cell>
          <cell r="C446">
            <v>81240</v>
          </cell>
          <cell r="D446">
            <v>2013</v>
          </cell>
          <cell r="E446">
            <v>35.5</v>
          </cell>
          <cell r="F446">
            <v>75</v>
          </cell>
          <cell r="G446">
            <v>195</v>
          </cell>
          <cell r="H446">
            <v>32</v>
          </cell>
          <cell r="I446">
            <v>36</v>
          </cell>
          <cell r="J446">
            <v>201</v>
          </cell>
          <cell r="K446">
            <v>327</v>
          </cell>
          <cell r="L446">
            <v>2.7</v>
          </cell>
          <cell r="M446">
            <v>10.9</v>
          </cell>
          <cell r="N446">
            <v>2.6</v>
          </cell>
          <cell r="O446">
            <v>0.1</v>
          </cell>
          <cell r="P446">
            <v>1.2</v>
          </cell>
          <cell r="R446">
            <v>140</v>
          </cell>
          <cell r="S446">
            <v>0</v>
          </cell>
          <cell r="T446">
            <v>7.2</v>
          </cell>
          <cell r="U446">
            <v>1.39</v>
          </cell>
          <cell r="W446">
            <v>-10.4</v>
          </cell>
          <cell r="X446">
            <v>530</v>
          </cell>
          <cell r="Y446">
            <v>0</v>
          </cell>
        </row>
        <row r="447">
          <cell r="B447" t="str">
            <v>Silo 9</v>
          </cell>
          <cell r="C447">
            <v>81241</v>
          </cell>
          <cell r="D447">
            <v>2013</v>
          </cell>
          <cell r="E447">
            <v>35.700000000000003</v>
          </cell>
          <cell r="F447">
            <v>184</v>
          </cell>
          <cell r="G447">
            <v>289</v>
          </cell>
          <cell r="H447">
            <v>37</v>
          </cell>
          <cell r="I447">
            <v>11</v>
          </cell>
          <cell r="J447">
            <v>107</v>
          </cell>
          <cell r="K447">
            <v>470</v>
          </cell>
          <cell r="L447">
            <v>5.6</v>
          </cell>
          <cell r="M447">
            <v>34</v>
          </cell>
          <cell r="N447">
            <v>5.2</v>
          </cell>
          <cell r="O447">
            <v>1.4</v>
          </cell>
          <cell r="P447">
            <v>2.1</v>
          </cell>
          <cell r="R447">
            <v>141</v>
          </cell>
          <cell r="S447">
            <v>0</v>
          </cell>
          <cell r="T447">
            <v>6.19</v>
          </cell>
          <cell r="U447">
            <v>2.97</v>
          </cell>
          <cell r="W447">
            <v>6.88</v>
          </cell>
          <cell r="X447">
            <v>298</v>
          </cell>
          <cell r="Y447">
            <v>0</v>
          </cell>
        </row>
        <row r="448">
          <cell r="B448" t="str">
            <v>WGB 37/47/10/4/1,5/0,5</v>
          </cell>
          <cell r="C448">
            <v>81243</v>
          </cell>
          <cell r="D448">
            <v>2014</v>
          </cell>
          <cell r="E448">
            <v>90.3</v>
          </cell>
          <cell r="F448">
            <v>130</v>
          </cell>
          <cell r="G448">
            <v>78</v>
          </cell>
          <cell r="H448">
            <v>20</v>
          </cell>
          <cell r="I448">
            <v>166</v>
          </cell>
          <cell r="J448">
            <v>57</v>
          </cell>
          <cell r="K448">
            <v>163</v>
          </cell>
          <cell r="L448">
            <v>13.3</v>
          </cell>
          <cell r="M448">
            <v>7.2</v>
          </cell>
          <cell r="N448">
            <v>26.8</v>
          </cell>
          <cell r="O448">
            <v>12.4</v>
          </cell>
          <cell r="P448">
            <v>5.9</v>
          </cell>
          <cell r="R448">
            <v>149</v>
          </cell>
          <cell r="S448">
            <v>0</v>
          </cell>
          <cell r="T448">
            <v>7.34</v>
          </cell>
          <cell r="W448">
            <v>-3.04</v>
          </cell>
          <cell r="X448">
            <v>521</v>
          </cell>
          <cell r="Y448">
            <v>0</v>
          </cell>
        </row>
        <row r="449">
          <cell r="B449" t="str">
            <v>RES</v>
          </cell>
          <cell r="C449">
            <v>81244</v>
          </cell>
          <cell r="D449">
            <v>2014</v>
          </cell>
          <cell r="E449">
            <v>88.7</v>
          </cell>
          <cell r="F449">
            <v>386</v>
          </cell>
          <cell r="G449">
            <v>147</v>
          </cell>
          <cell r="H449">
            <v>24</v>
          </cell>
          <cell r="I449">
            <v>78</v>
          </cell>
          <cell r="J449">
            <v>231</v>
          </cell>
          <cell r="K449">
            <v>307</v>
          </cell>
          <cell r="L449">
            <v>17.100000000000001</v>
          </cell>
          <cell r="M449">
            <v>14.4</v>
          </cell>
          <cell r="N449">
            <v>8.1999999999999993</v>
          </cell>
          <cell r="O449">
            <v>0.3</v>
          </cell>
          <cell r="P449">
            <v>4.5999999999999996</v>
          </cell>
          <cell r="R449">
            <v>254</v>
          </cell>
          <cell r="S449">
            <v>0</v>
          </cell>
          <cell r="T449">
            <v>7.31</v>
          </cell>
          <cell r="U449">
            <v>0.36</v>
          </cell>
          <cell r="W449">
            <v>21.12</v>
          </cell>
          <cell r="X449">
            <v>205</v>
          </cell>
          <cell r="Y449">
            <v>0</v>
          </cell>
        </row>
        <row r="450">
          <cell r="B450" t="str">
            <v>Heu, 2. S.</v>
          </cell>
          <cell r="C450">
            <v>81245</v>
          </cell>
          <cell r="D450">
            <v>2013</v>
          </cell>
          <cell r="E450">
            <v>89.2</v>
          </cell>
          <cell r="F450">
            <v>158</v>
          </cell>
          <cell r="G450">
            <v>281</v>
          </cell>
          <cell r="H450">
            <v>23</v>
          </cell>
          <cell r="I450">
            <v>81</v>
          </cell>
          <cell r="J450">
            <v>305</v>
          </cell>
          <cell r="K450">
            <v>492</v>
          </cell>
          <cell r="L450">
            <v>5.7</v>
          </cell>
          <cell r="M450">
            <v>25.9</v>
          </cell>
          <cell r="N450">
            <v>4</v>
          </cell>
          <cell r="O450">
            <v>1.9</v>
          </cell>
          <cell r="P450">
            <v>1.7</v>
          </cell>
          <cell r="R450">
            <v>147</v>
          </cell>
          <cell r="S450">
            <v>0</v>
          </cell>
          <cell r="T450">
            <v>6.18</v>
          </cell>
          <cell r="W450">
            <v>1.76</v>
          </cell>
          <cell r="X450">
            <v>246</v>
          </cell>
          <cell r="Y450">
            <v>0</v>
          </cell>
        </row>
        <row r="451">
          <cell r="B451" t="str">
            <v>Stroh, Gerste</v>
          </cell>
          <cell r="C451">
            <v>81246</v>
          </cell>
          <cell r="D451">
            <v>2013</v>
          </cell>
          <cell r="E451">
            <v>89</v>
          </cell>
          <cell r="F451">
            <v>32</v>
          </cell>
          <cell r="G451">
            <v>490</v>
          </cell>
          <cell r="H451">
            <v>13</v>
          </cell>
          <cell r="I451">
            <v>56</v>
          </cell>
          <cell r="J451">
            <v>490</v>
          </cell>
          <cell r="K451">
            <v>552</v>
          </cell>
          <cell r="L451">
            <v>1</v>
          </cell>
          <cell r="M451">
            <v>19.8</v>
          </cell>
          <cell r="N451">
            <v>2.7</v>
          </cell>
          <cell r="O451">
            <v>0.6</v>
          </cell>
          <cell r="P451">
            <v>5.5</v>
          </cell>
          <cell r="R451">
            <v>75</v>
          </cell>
          <cell r="S451">
            <v>0</v>
          </cell>
          <cell r="T451">
            <v>3.76</v>
          </cell>
          <cell r="W451">
            <v>-6.88</v>
          </cell>
          <cell r="X451">
            <v>347</v>
          </cell>
          <cell r="Y451">
            <v>0</v>
          </cell>
        </row>
        <row r="452">
          <cell r="B452" t="str">
            <v>Pressschnitzel</v>
          </cell>
          <cell r="C452">
            <v>81247</v>
          </cell>
          <cell r="D452">
            <v>2013</v>
          </cell>
          <cell r="E452">
            <v>30</v>
          </cell>
          <cell r="F452">
            <v>83</v>
          </cell>
          <cell r="G452">
            <v>209</v>
          </cell>
          <cell r="H452">
            <v>7</v>
          </cell>
          <cell r="I452">
            <v>98</v>
          </cell>
          <cell r="J452">
            <v>219</v>
          </cell>
          <cell r="K452">
            <v>412</v>
          </cell>
          <cell r="L452">
            <v>1.2</v>
          </cell>
          <cell r="M452">
            <v>3.9</v>
          </cell>
          <cell r="N452">
            <v>10.8</v>
          </cell>
          <cell r="O452">
            <v>0.2</v>
          </cell>
          <cell r="P452">
            <v>1.8</v>
          </cell>
          <cell r="R452">
            <v>139</v>
          </cell>
          <cell r="S452">
            <v>0</v>
          </cell>
          <cell r="T452">
            <v>7.14</v>
          </cell>
          <cell r="U452">
            <v>1.05</v>
          </cell>
          <cell r="W452">
            <v>-8.9600000000000009</v>
          </cell>
          <cell r="X452">
            <v>400</v>
          </cell>
          <cell r="Y452">
            <v>0</v>
          </cell>
        </row>
        <row r="453">
          <cell r="B453" t="str">
            <v>Silo 5</v>
          </cell>
          <cell r="C453">
            <v>81252</v>
          </cell>
          <cell r="D453">
            <v>2012</v>
          </cell>
          <cell r="E453">
            <v>37.6</v>
          </cell>
          <cell r="F453">
            <v>80</v>
          </cell>
          <cell r="G453">
            <v>179</v>
          </cell>
          <cell r="H453">
            <v>38</v>
          </cell>
          <cell r="I453">
            <v>41</v>
          </cell>
          <cell r="J453">
            <v>203</v>
          </cell>
          <cell r="K453">
            <v>315</v>
          </cell>
          <cell r="L453">
            <v>3</v>
          </cell>
          <cell r="M453">
            <v>11.5</v>
          </cell>
          <cell r="N453">
            <v>2.4</v>
          </cell>
          <cell r="O453">
            <v>0.2</v>
          </cell>
          <cell r="P453">
            <v>1.1000000000000001</v>
          </cell>
          <cell r="R453">
            <v>143</v>
          </cell>
          <cell r="S453">
            <v>0</v>
          </cell>
          <cell r="T453">
            <v>7.37</v>
          </cell>
          <cell r="U453">
            <v>1.32</v>
          </cell>
          <cell r="W453">
            <v>-10.08</v>
          </cell>
          <cell r="X453">
            <v>526</v>
          </cell>
          <cell r="Y453">
            <v>0</v>
          </cell>
        </row>
        <row r="454">
          <cell r="B454" t="str">
            <v>Silo 9</v>
          </cell>
          <cell r="C454">
            <v>81253</v>
          </cell>
          <cell r="D454">
            <v>2013</v>
          </cell>
          <cell r="E454">
            <v>35.5</v>
          </cell>
          <cell r="F454">
            <v>183</v>
          </cell>
          <cell r="G454">
            <v>294</v>
          </cell>
          <cell r="H454">
            <v>42</v>
          </cell>
          <cell r="I454">
            <v>104</v>
          </cell>
          <cell r="J454">
            <v>300</v>
          </cell>
          <cell r="K454">
            <v>466</v>
          </cell>
          <cell r="L454">
            <v>5.7</v>
          </cell>
          <cell r="M454">
            <v>34.1</v>
          </cell>
          <cell r="N454">
            <v>4.9000000000000004</v>
          </cell>
          <cell r="O454">
            <v>2.4</v>
          </cell>
          <cell r="P454">
            <v>2</v>
          </cell>
          <cell r="R454">
            <v>144</v>
          </cell>
          <cell r="S454">
            <v>0</v>
          </cell>
          <cell r="T454">
            <v>6.41</v>
          </cell>
          <cell r="U454">
            <v>2.95</v>
          </cell>
          <cell r="W454">
            <v>6.24</v>
          </cell>
          <cell r="X454">
            <v>205</v>
          </cell>
          <cell r="Y454">
            <v>0</v>
          </cell>
        </row>
        <row r="455">
          <cell r="B455" t="str">
            <v>Treber</v>
          </cell>
          <cell r="C455">
            <v>81254</v>
          </cell>
          <cell r="D455">
            <v>2014</v>
          </cell>
          <cell r="E455">
            <v>24.1</v>
          </cell>
          <cell r="F455">
            <v>200</v>
          </cell>
          <cell r="G455">
            <v>188</v>
          </cell>
          <cell r="H455">
            <v>77</v>
          </cell>
          <cell r="I455">
            <v>46</v>
          </cell>
          <cell r="J455">
            <v>270</v>
          </cell>
          <cell r="K455">
            <v>558</v>
          </cell>
          <cell r="L455">
            <v>7.7</v>
          </cell>
          <cell r="M455">
            <v>2.4</v>
          </cell>
          <cell r="N455">
            <v>2.8</v>
          </cell>
          <cell r="O455">
            <v>0.1</v>
          </cell>
          <cell r="P455">
            <v>1.8</v>
          </cell>
          <cell r="R455">
            <v>184</v>
          </cell>
          <cell r="S455">
            <v>0</v>
          </cell>
          <cell r="T455">
            <v>6.59</v>
          </cell>
          <cell r="W455">
            <v>2.56</v>
          </cell>
          <cell r="X455">
            <v>119</v>
          </cell>
          <cell r="Y455">
            <v>0</v>
          </cell>
        </row>
        <row r="456">
          <cell r="B456" t="str">
            <v>WGB 37/47/10/4/1,5/0,5</v>
          </cell>
          <cell r="C456">
            <v>81255</v>
          </cell>
          <cell r="D456">
            <v>2014</v>
          </cell>
          <cell r="E456">
            <v>89.6</v>
          </cell>
          <cell r="F456">
            <v>141</v>
          </cell>
          <cell r="G456">
            <v>101</v>
          </cell>
          <cell r="H456">
            <v>18</v>
          </cell>
          <cell r="I456">
            <v>78</v>
          </cell>
          <cell r="J456">
            <v>50</v>
          </cell>
          <cell r="K456">
            <v>130</v>
          </cell>
          <cell r="L456">
            <v>8.9</v>
          </cell>
          <cell r="M456">
            <v>8.3000000000000007</v>
          </cell>
          <cell r="N456">
            <v>11.2</v>
          </cell>
          <cell r="O456">
            <v>5.9</v>
          </cell>
          <cell r="P456">
            <v>2.8</v>
          </cell>
          <cell r="R456">
            <v>167</v>
          </cell>
          <cell r="S456">
            <v>0</v>
          </cell>
          <cell r="T456">
            <v>8.35</v>
          </cell>
          <cell r="W456">
            <v>-4.16</v>
          </cell>
          <cell r="X456">
            <v>633</v>
          </cell>
          <cell r="Y456">
            <v>0</v>
          </cell>
        </row>
        <row r="457">
          <cell r="B457" t="str">
            <v>RES</v>
          </cell>
          <cell r="C457">
            <v>81256</v>
          </cell>
          <cell r="D457">
            <v>2014</v>
          </cell>
          <cell r="E457">
            <v>88.6</v>
          </cell>
          <cell r="F457">
            <v>379</v>
          </cell>
          <cell r="G457">
            <v>154</v>
          </cell>
          <cell r="H457">
            <v>21</v>
          </cell>
          <cell r="I457">
            <v>77</v>
          </cell>
          <cell r="J457">
            <v>228</v>
          </cell>
          <cell r="K457">
            <v>310</v>
          </cell>
          <cell r="L457">
            <v>16.600000000000001</v>
          </cell>
          <cell r="M457">
            <v>15.8</v>
          </cell>
          <cell r="N457">
            <v>8.1999999999999993</v>
          </cell>
          <cell r="O457">
            <v>0.5</v>
          </cell>
          <cell r="P457">
            <v>4.3</v>
          </cell>
          <cell r="R457">
            <v>250</v>
          </cell>
          <cell r="S457">
            <v>0</v>
          </cell>
          <cell r="T457">
            <v>7.28</v>
          </cell>
          <cell r="W457">
            <v>20.64</v>
          </cell>
          <cell r="X457">
            <v>213</v>
          </cell>
          <cell r="Y457">
            <v>0</v>
          </cell>
        </row>
        <row r="458">
          <cell r="B458" t="str">
            <v>Heu, 2. S.</v>
          </cell>
          <cell r="C458">
            <v>81257</v>
          </cell>
          <cell r="D458">
            <v>2013</v>
          </cell>
          <cell r="E458">
            <v>91.6</v>
          </cell>
          <cell r="F458">
            <v>168</v>
          </cell>
          <cell r="G458">
            <v>293</v>
          </cell>
          <cell r="H458">
            <v>21</v>
          </cell>
          <cell r="I458">
            <v>74</v>
          </cell>
          <cell r="J458">
            <v>297</v>
          </cell>
          <cell r="K458">
            <v>502</v>
          </cell>
          <cell r="L458">
            <v>3.5</v>
          </cell>
          <cell r="M458">
            <v>15.7</v>
          </cell>
          <cell r="N458">
            <v>6.3</v>
          </cell>
          <cell r="O458">
            <v>1.6</v>
          </cell>
          <cell r="P458">
            <v>3.1</v>
          </cell>
          <cell r="R458">
            <v>143</v>
          </cell>
          <cell r="S458">
            <v>0</v>
          </cell>
          <cell r="T458">
            <v>5.78</v>
          </cell>
          <cell r="U458">
            <v>3.16</v>
          </cell>
          <cell r="W458">
            <v>4</v>
          </cell>
          <cell r="X458">
            <v>235</v>
          </cell>
          <cell r="Y458">
            <v>0</v>
          </cell>
        </row>
        <row r="459">
          <cell r="B459" t="str">
            <v>Stroh, Gerste</v>
          </cell>
          <cell r="C459">
            <v>81258</v>
          </cell>
          <cell r="D459">
            <v>2013</v>
          </cell>
          <cell r="E459">
            <v>90.9</v>
          </cell>
          <cell r="F459">
            <v>33</v>
          </cell>
          <cell r="G459">
            <v>488</v>
          </cell>
          <cell r="H459">
            <v>12</v>
          </cell>
          <cell r="I459">
            <v>58</v>
          </cell>
          <cell r="J459">
            <v>555</v>
          </cell>
          <cell r="K459">
            <v>805</v>
          </cell>
          <cell r="L459">
            <v>1.7</v>
          </cell>
          <cell r="M459">
            <v>21.8</v>
          </cell>
          <cell r="N459">
            <v>3</v>
          </cell>
          <cell r="O459">
            <v>0.3</v>
          </cell>
          <cell r="P459">
            <v>0.4</v>
          </cell>
          <cell r="R459">
            <v>76</v>
          </cell>
          <cell r="S459">
            <v>0</v>
          </cell>
          <cell r="T459">
            <v>3.75</v>
          </cell>
          <cell r="W459">
            <v>-6.88</v>
          </cell>
          <cell r="X459">
            <v>92</v>
          </cell>
          <cell r="Y459">
            <v>0</v>
          </cell>
        </row>
        <row r="460">
          <cell r="B460" t="str">
            <v>Pressschnitzel</v>
          </cell>
          <cell r="C460">
            <v>81259</v>
          </cell>
          <cell r="D460">
            <v>2013</v>
          </cell>
          <cell r="F460">
            <v>85</v>
          </cell>
          <cell r="G460">
            <v>195</v>
          </cell>
          <cell r="H460">
            <v>6</v>
          </cell>
          <cell r="I460">
            <v>107</v>
          </cell>
          <cell r="J460">
            <v>227</v>
          </cell>
          <cell r="K460">
            <v>423</v>
          </cell>
          <cell r="L460">
            <v>1.3</v>
          </cell>
          <cell r="M460">
            <v>4.7</v>
          </cell>
          <cell r="N460">
            <v>10.3</v>
          </cell>
          <cell r="O460">
            <v>0.2</v>
          </cell>
          <cell r="P460">
            <v>1.7</v>
          </cell>
          <cell r="R460">
            <v>138</v>
          </cell>
          <cell r="S460">
            <v>0</v>
          </cell>
          <cell r="T460">
            <v>7.09</v>
          </cell>
          <cell r="W460">
            <v>-8.48</v>
          </cell>
          <cell r="X460">
            <v>379</v>
          </cell>
          <cell r="Y460">
            <v>0</v>
          </cell>
        </row>
        <row r="461">
          <cell r="B461" t="str">
            <v>Treber</v>
          </cell>
          <cell r="C461">
            <v>81262</v>
          </cell>
          <cell r="D461">
            <v>2014</v>
          </cell>
          <cell r="E461">
            <v>24</v>
          </cell>
          <cell r="F461">
            <v>202</v>
          </cell>
          <cell r="G461">
            <v>193</v>
          </cell>
          <cell r="H461">
            <v>83</v>
          </cell>
          <cell r="I461">
            <v>47</v>
          </cell>
          <cell r="J461">
            <v>288</v>
          </cell>
          <cell r="K461">
            <v>569</v>
          </cell>
          <cell r="L461">
            <v>8.1999999999999993</v>
          </cell>
          <cell r="M461">
            <v>2.8</v>
          </cell>
          <cell r="N461">
            <v>3.1</v>
          </cell>
          <cell r="O461">
            <v>0.2</v>
          </cell>
          <cell r="P461">
            <v>2.1</v>
          </cell>
          <cell r="R461">
            <v>186</v>
          </cell>
          <cell r="S461">
            <v>0</v>
          </cell>
          <cell r="T461">
            <v>6.63</v>
          </cell>
          <cell r="W461">
            <v>2.56</v>
          </cell>
          <cell r="X461">
            <v>99</v>
          </cell>
          <cell r="Y461">
            <v>0</v>
          </cell>
        </row>
        <row r="462">
          <cell r="B462" t="str">
            <v>Silo 5</v>
          </cell>
          <cell r="C462">
            <v>81265</v>
          </cell>
          <cell r="D462">
            <v>2012</v>
          </cell>
          <cell r="E462">
            <v>36.1</v>
          </cell>
          <cell r="F462">
            <v>75</v>
          </cell>
          <cell r="G462">
            <v>176</v>
          </cell>
          <cell r="H462">
            <v>37</v>
          </cell>
          <cell r="I462">
            <v>36</v>
          </cell>
          <cell r="J462">
            <v>206</v>
          </cell>
          <cell r="K462">
            <v>316</v>
          </cell>
          <cell r="L462">
            <v>3</v>
          </cell>
          <cell r="M462">
            <v>9</v>
          </cell>
          <cell r="N462">
            <v>2.2000000000000002</v>
          </cell>
          <cell r="O462">
            <v>0.2</v>
          </cell>
          <cell r="P462">
            <v>1.1000000000000001</v>
          </cell>
          <cell r="R462">
            <v>140</v>
          </cell>
          <cell r="S462">
            <v>0</v>
          </cell>
          <cell r="T462">
            <v>7.23</v>
          </cell>
          <cell r="U462">
            <v>1.33</v>
          </cell>
          <cell r="W462">
            <v>-10.4</v>
          </cell>
          <cell r="X462">
            <v>536</v>
          </cell>
          <cell r="Y462">
            <v>0</v>
          </cell>
        </row>
        <row r="463">
          <cell r="B463" t="str">
            <v>Silo 9</v>
          </cell>
          <cell r="C463">
            <v>81266</v>
          </cell>
          <cell r="D463">
            <v>2013</v>
          </cell>
          <cell r="E463">
            <v>35.4</v>
          </cell>
          <cell r="F463">
            <v>176</v>
          </cell>
          <cell r="G463">
            <v>289</v>
          </cell>
          <cell r="H463">
            <v>38</v>
          </cell>
          <cell r="I463">
            <v>108</v>
          </cell>
          <cell r="J463">
            <v>296</v>
          </cell>
          <cell r="K463">
            <v>496</v>
          </cell>
          <cell r="L463">
            <v>5.4</v>
          </cell>
          <cell r="M463">
            <v>27.6</v>
          </cell>
          <cell r="N463">
            <v>5.4</v>
          </cell>
          <cell r="O463">
            <v>1.3</v>
          </cell>
          <cell r="P463">
            <v>2.1</v>
          </cell>
          <cell r="R463">
            <v>139</v>
          </cell>
          <cell r="S463">
            <v>0</v>
          </cell>
          <cell r="T463">
            <v>6.13</v>
          </cell>
          <cell r="U463">
            <v>3.12</v>
          </cell>
          <cell r="V463">
            <v>33</v>
          </cell>
          <cell r="W463">
            <v>5.92</v>
          </cell>
          <cell r="X463">
            <v>182</v>
          </cell>
          <cell r="Y463">
            <v>0</v>
          </cell>
        </row>
        <row r="464">
          <cell r="B464" t="str">
            <v>Treber</v>
          </cell>
          <cell r="C464">
            <v>81267</v>
          </cell>
          <cell r="D464">
            <v>2014</v>
          </cell>
          <cell r="E464">
            <v>23.9</v>
          </cell>
          <cell r="F464">
            <v>214</v>
          </cell>
          <cell r="G464">
            <v>186</v>
          </cell>
          <cell r="H464">
            <v>77</v>
          </cell>
          <cell r="I464">
            <v>44</v>
          </cell>
          <cell r="J464">
            <v>273</v>
          </cell>
          <cell r="K464">
            <v>572</v>
          </cell>
          <cell r="L464">
            <v>7.8</v>
          </cell>
          <cell r="M464">
            <v>2.1</v>
          </cell>
          <cell r="N464">
            <v>3.4</v>
          </cell>
          <cell r="O464">
            <v>0.2</v>
          </cell>
          <cell r="P464">
            <v>2.2999999999999998</v>
          </cell>
          <cell r="R464">
            <v>191</v>
          </cell>
          <cell r="S464">
            <v>0</v>
          </cell>
          <cell r="T464">
            <v>6.61</v>
          </cell>
          <cell r="W464">
            <v>3.68</v>
          </cell>
          <cell r="X464">
            <v>93</v>
          </cell>
          <cell r="Y464">
            <v>0</v>
          </cell>
        </row>
        <row r="465">
          <cell r="B465" t="str">
            <v>WGB 37/47/10/4/1,5/0,5</v>
          </cell>
          <cell r="C465">
            <v>81268</v>
          </cell>
          <cell r="D465">
            <v>2014</v>
          </cell>
          <cell r="E465">
            <v>89.3</v>
          </cell>
          <cell r="F465">
            <v>137</v>
          </cell>
          <cell r="G465">
            <v>119</v>
          </cell>
          <cell r="H465">
            <v>16</v>
          </cell>
          <cell r="I465">
            <v>52</v>
          </cell>
          <cell r="J465">
            <v>90</v>
          </cell>
          <cell r="K465">
            <v>175</v>
          </cell>
          <cell r="L465">
            <v>7.2</v>
          </cell>
          <cell r="M465">
            <v>7.3</v>
          </cell>
          <cell r="N465">
            <v>6.7</v>
          </cell>
          <cell r="O465">
            <v>2.8</v>
          </cell>
          <cell r="P465">
            <v>2.4</v>
          </cell>
          <cell r="R465">
            <v>169</v>
          </cell>
          <cell r="S465">
            <v>0</v>
          </cell>
          <cell r="T465">
            <v>8.48</v>
          </cell>
          <cell r="W465">
            <v>-5.12</v>
          </cell>
          <cell r="X465">
            <v>620</v>
          </cell>
          <cell r="Y465">
            <v>0</v>
          </cell>
        </row>
        <row r="466">
          <cell r="B466" t="str">
            <v>RES</v>
          </cell>
          <cell r="C466">
            <v>81269</v>
          </cell>
          <cell r="D466">
            <v>2014</v>
          </cell>
          <cell r="E466">
            <v>88.5</v>
          </cell>
          <cell r="F466">
            <v>386</v>
          </cell>
          <cell r="G466">
            <v>163</v>
          </cell>
          <cell r="H466">
            <v>18</v>
          </cell>
          <cell r="I466">
            <v>76</v>
          </cell>
          <cell r="J466">
            <v>217</v>
          </cell>
          <cell r="K466">
            <v>320</v>
          </cell>
          <cell r="L466">
            <v>4</v>
          </cell>
          <cell r="M466">
            <v>14.8</v>
          </cell>
          <cell r="N466">
            <v>8</v>
          </cell>
          <cell r="O466">
            <v>0.5</v>
          </cell>
          <cell r="P466">
            <v>5.2</v>
          </cell>
          <cell r="R466">
            <v>253</v>
          </cell>
          <cell r="S466">
            <v>0</v>
          </cell>
          <cell r="T466">
            <v>7.27</v>
          </cell>
          <cell r="W466">
            <v>21.28</v>
          </cell>
          <cell r="X466">
            <v>200</v>
          </cell>
          <cell r="Y466">
            <v>0</v>
          </cell>
        </row>
        <row r="467">
          <cell r="B467" t="str">
            <v>Heu, 2. S.</v>
          </cell>
          <cell r="C467">
            <v>81270</v>
          </cell>
          <cell r="D467">
            <v>2013</v>
          </cell>
          <cell r="E467">
            <v>91.1</v>
          </cell>
          <cell r="F467">
            <v>182</v>
          </cell>
          <cell r="G467">
            <v>283</v>
          </cell>
          <cell r="H467">
            <v>28</v>
          </cell>
          <cell r="I467">
            <v>99</v>
          </cell>
          <cell r="J467">
            <v>289</v>
          </cell>
          <cell r="K467">
            <v>494</v>
          </cell>
          <cell r="L467">
            <v>5.7</v>
          </cell>
          <cell r="M467">
            <v>32.700000000000003</v>
          </cell>
          <cell r="N467">
            <v>4.5</v>
          </cell>
          <cell r="O467">
            <v>1.1000000000000001</v>
          </cell>
          <cell r="P467">
            <v>2</v>
          </cell>
          <cell r="R467">
            <v>156</v>
          </cell>
          <cell r="S467">
            <v>0</v>
          </cell>
          <cell r="T467">
            <v>6.45</v>
          </cell>
          <cell r="U467">
            <v>3.12</v>
          </cell>
          <cell r="W467">
            <v>4.16</v>
          </cell>
          <cell r="X467">
            <v>197</v>
          </cell>
          <cell r="Y467">
            <v>0</v>
          </cell>
        </row>
        <row r="468">
          <cell r="B468" t="str">
            <v>Stroh, Gerste</v>
          </cell>
          <cell r="C468">
            <v>81271</v>
          </cell>
          <cell r="D468">
            <v>2013</v>
          </cell>
          <cell r="E468">
            <v>87.9</v>
          </cell>
          <cell r="F468">
            <v>22</v>
          </cell>
          <cell r="G468">
            <v>454</v>
          </cell>
          <cell r="H468">
            <v>11</v>
          </cell>
          <cell r="I468">
            <v>60</v>
          </cell>
          <cell r="J468">
            <v>562</v>
          </cell>
          <cell r="K468">
            <v>829</v>
          </cell>
          <cell r="L468">
            <v>1.8</v>
          </cell>
          <cell r="M468">
            <v>18.899999999999999</v>
          </cell>
          <cell r="N468">
            <v>2.7</v>
          </cell>
          <cell r="O468">
            <v>0.5</v>
          </cell>
          <cell r="P468">
            <v>0.5</v>
          </cell>
          <cell r="R468">
            <v>70</v>
          </cell>
          <cell r="S468">
            <v>0</v>
          </cell>
          <cell r="T468">
            <v>3.74</v>
          </cell>
          <cell r="W468">
            <v>-7.68</v>
          </cell>
          <cell r="X468">
            <v>78</v>
          </cell>
          <cell r="Y468">
            <v>0</v>
          </cell>
        </row>
        <row r="469">
          <cell r="B469" t="str">
            <v>Pressschnitzel</v>
          </cell>
          <cell r="C469">
            <v>81272</v>
          </cell>
          <cell r="D469">
            <v>2013</v>
          </cell>
          <cell r="E469">
            <v>30.6</v>
          </cell>
          <cell r="F469">
            <v>86</v>
          </cell>
          <cell r="G469">
            <v>208</v>
          </cell>
          <cell r="H469">
            <v>6</v>
          </cell>
          <cell r="I469">
            <v>87</v>
          </cell>
          <cell r="J469">
            <v>233</v>
          </cell>
          <cell r="K469">
            <v>429</v>
          </cell>
          <cell r="L469">
            <v>1.3</v>
          </cell>
          <cell r="M469">
            <v>5</v>
          </cell>
          <cell r="N469">
            <v>9.9</v>
          </cell>
          <cell r="O469">
            <v>0.2</v>
          </cell>
          <cell r="P469">
            <v>1.9</v>
          </cell>
          <cell r="R469">
            <v>141</v>
          </cell>
          <cell r="S469">
            <v>0</v>
          </cell>
          <cell r="T469">
            <v>7.23</v>
          </cell>
          <cell r="V469">
            <v>10</v>
          </cell>
          <cell r="W469">
            <v>-8.8000000000000007</v>
          </cell>
          <cell r="X469">
            <v>392</v>
          </cell>
          <cell r="Y469">
            <v>0</v>
          </cell>
        </row>
        <row r="470">
          <cell r="B470" t="str">
            <v>Silo 5</v>
          </cell>
          <cell r="C470">
            <v>81287</v>
          </cell>
          <cell r="D470">
            <v>2012</v>
          </cell>
          <cell r="E470">
            <v>36</v>
          </cell>
          <cell r="F470">
            <v>82</v>
          </cell>
          <cell r="G470">
            <v>168</v>
          </cell>
          <cell r="H470">
            <v>41</v>
          </cell>
          <cell r="I470">
            <v>39</v>
          </cell>
          <cell r="J470">
            <v>176</v>
          </cell>
          <cell r="K470">
            <v>324</v>
          </cell>
          <cell r="L470">
            <v>3</v>
          </cell>
          <cell r="M470">
            <v>9.5</v>
          </cell>
          <cell r="N470">
            <v>2.1</v>
          </cell>
          <cell r="O470">
            <v>0.1</v>
          </cell>
          <cell r="P470">
            <v>1.2</v>
          </cell>
          <cell r="R470">
            <v>144</v>
          </cell>
          <cell r="S470">
            <v>0</v>
          </cell>
          <cell r="T470">
            <v>7.4</v>
          </cell>
          <cell r="U470">
            <v>1.38</v>
          </cell>
          <cell r="W470">
            <v>-9.92</v>
          </cell>
          <cell r="X470">
            <v>514</v>
          </cell>
          <cell r="Y470">
            <v>0</v>
          </cell>
        </row>
        <row r="471">
          <cell r="B471" t="str">
            <v>Silo 9</v>
          </cell>
          <cell r="C471">
            <v>81288</v>
          </cell>
          <cell r="D471">
            <v>2013</v>
          </cell>
          <cell r="E471">
            <v>35.299999999999997</v>
          </cell>
          <cell r="F471">
            <v>190</v>
          </cell>
          <cell r="G471">
            <v>268</v>
          </cell>
          <cell r="H471">
            <v>36</v>
          </cell>
          <cell r="I471">
            <v>111</v>
          </cell>
          <cell r="J471">
            <v>308</v>
          </cell>
          <cell r="K471">
            <v>474</v>
          </cell>
          <cell r="L471">
            <v>5.5</v>
          </cell>
          <cell r="M471">
            <v>30.8</v>
          </cell>
          <cell r="N471">
            <v>5.0999999999999996</v>
          </cell>
          <cell r="O471">
            <v>2.2999999999999998</v>
          </cell>
          <cell r="P471">
            <v>2</v>
          </cell>
          <cell r="R471">
            <v>140</v>
          </cell>
          <cell r="S471">
            <v>0</v>
          </cell>
          <cell r="T471">
            <v>6.05</v>
          </cell>
          <cell r="U471">
            <v>2.99</v>
          </cell>
          <cell r="W471">
            <v>8</v>
          </cell>
          <cell r="X471">
            <v>189</v>
          </cell>
          <cell r="Y471">
            <v>0</v>
          </cell>
        </row>
        <row r="472">
          <cell r="B472" t="str">
            <v>Treber</v>
          </cell>
          <cell r="C472">
            <v>81289</v>
          </cell>
          <cell r="D472">
            <v>2014</v>
          </cell>
          <cell r="E472">
            <v>23.5</v>
          </cell>
          <cell r="F472">
            <v>221</v>
          </cell>
          <cell r="G472">
            <v>188</v>
          </cell>
          <cell r="H472">
            <v>90</v>
          </cell>
          <cell r="I472">
            <v>44</v>
          </cell>
          <cell r="J472">
            <v>269</v>
          </cell>
          <cell r="K472">
            <v>581</v>
          </cell>
          <cell r="L472">
            <v>7.6</v>
          </cell>
          <cell r="M472">
            <v>1.7</v>
          </cell>
          <cell r="N472">
            <v>3.3</v>
          </cell>
          <cell r="O472">
            <v>0.3</v>
          </cell>
          <cell r="P472">
            <v>1.9</v>
          </cell>
          <cell r="R472">
            <v>195</v>
          </cell>
          <cell r="S472">
            <v>0</v>
          </cell>
          <cell r="T472">
            <v>6.74</v>
          </cell>
          <cell r="U472">
            <v>1.05</v>
          </cell>
          <cell r="W472">
            <v>4.16</v>
          </cell>
          <cell r="X472">
            <v>64</v>
          </cell>
          <cell r="Y472">
            <v>0</v>
          </cell>
        </row>
        <row r="473">
          <cell r="B473" t="str">
            <v>WGB 37/47/10/4/1,5/0,5</v>
          </cell>
          <cell r="C473">
            <v>81290</v>
          </cell>
          <cell r="D473">
            <v>2014</v>
          </cell>
          <cell r="E473">
            <v>89.7</v>
          </cell>
          <cell r="F473">
            <v>146</v>
          </cell>
          <cell r="G473">
            <v>87</v>
          </cell>
          <cell r="H473">
            <v>22</v>
          </cell>
          <cell r="I473">
            <v>58</v>
          </cell>
          <cell r="J473">
            <v>74</v>
          </cell>
          <cell r="K473">
            <v>152</v>
          </cell>
          <cell r="L473">
            <v>7.6</v>
          </cell>
          <cell r="M473">
            <v>7</v>
          </cell>
          <cell r="N473">
            <v>8.6</v>
          </cell>
          <cell r="O473">
            <v>3</v>
          </cell>
          <cell r="P473">
            <v>2.2000000000000002</v>
          </cell>
          <cell r="R473">
            <v>173</v>
          </cell>
          <cell r="S473">
            <v>0</v>
          </cell>
          <cell r="T473">
            <v>8.6</v>
          </cell>
          <cell r="W473">
            <v>-4.32</v>
          </cell>
          <cell r="X473">
            <v>622</v>
          </cell>
          <cell r="Y473">
            <v>0</v>
          </cell>
        </row>
        <row r="474">
          <cell r="B474" t="str">
            <v>RES</v>
          </cell>
          <cell r="C474">
            <v>81291</v>
          </cell>
          <cell r="D474">
            <v>2014</v>
          </cell>
          <cell r="E474">
            <v>89</v>
          </cell>
          <cell r="F474">
            <v>382</v>
          </cell>
          <cell r="G474">
            <v>165</v>
          </cell>
          <cell r="H474">
            <v>18</v>
          </cell>
          <cell r="I474">
            <v>77</v>
          </cell>
          <cell r="J474">
            <v>222</v>
          </cell>
          <cell r="K474">
            <v>304</v>
          </cell>
          <cell r="L474">
            <v>16</v>
          </cell>
          <cell r="M474">
            <v>13.9</v>
          </cell>
          <cell r="N474">
            <v>7.9</v>
          </cell>
          <cell r="O474">
            <v>0.6</v>
          </cell>
          <cell r="P474">
            <v>4.4000000000000004</v>
          </cell>
          <cell r="R474">
            <v>251</v>
          </cell>
          <cell r="S474">
            <v>0</v>
          </cell>
          <cell r="T474">
            <v>7.26</v>
          </cell>
          <cell r="W474">
            <v>20.96</v>
          </cell>
          <cell r="X474">
            <v>219</v>
          </cell>
          <cell r="Y474">
            <v>0</v>
          </cell>
        </row>
        <row r="475">
          <cell r="B475" t="str">
            <v>Heu, 2. S.</v>
          </cell>
          <cell r="C475">
            <v>81292</v>
          </cell>
          <cell r="D475">
            <v>2013</v>
          </cell>
          <cell r="E475">
            <v>91.1</v>
          </cell>
          <cell r="F475">
            <v>167</v>
          </cell>
          <cell r="G475">
            <v>292</v>
          </cell>
          <cell r="H475">
            <v>26</v>
          </cell>
          <cell r="I475">
            <v>72</v>
          </cell>
          <cell r="J475">
            <v>305</v>
          </cell>
          <cell r="K475">
            <v>496</v>
          </cell>
          <cell r="L475">
            <v>5.7</v>
          </cell>
          <cell r="M475">
            <v>17.7</v>
          </cell>
          <cell r="N475">
            <v>4.2</v>
          </cell>
          <cell r="O475">
            <v>3.4</v>
          </cell>
          <cell r="P475">
            <v>1.8</v>
          </cell>
          <cell r="R475">
            <v>151</v>
          </cell>
          <cell r="S475">
            <v>0</v>
          </cell>
          <cell r="T475">
            <v>6.31</v>
          </cell>
          <cell r="U475">
            <v>3.13</v>
          </cell>
          <cell r="W475">
            <v>2.56</v>
          </cell>
          <cell r="X475">
            <v>239</v>
          </cell>
          <cell r="Y475">
            <v>0</v>
          </cell>
        </row>
        <row r="476">
          <cell r="B476" t="str">
            <v>Stroh, Gerste</v>
          </cell>
          <cell r="C476">
            <v>81293</v>
          </cell>
          <cell r="D476">
            <v>2013</v>
          </cell>
          <cell r="E476">
            <v>91.9</v>
          </cell>
          <cell r="F476">
            <v>39</v>
          </cell>
          <cell r="G476">
            <v>434</v>
          </cell>
          <cell r="H476">
            <v>18</v>
          </cell>
          <cell r="I476">
            <v>75</v>
          </cell>
          <cell r="J476">
            <v>496</v>
          </cell>
          <cell r="K476">
            <v>762</v>
          </cell>
          <cell r="L476">
            <v>1</v>
          </cell>
          <cell r="M476">
            <v>9.5</v>
          </cell>
          <cell r="N476">
            <v>2.7</v>
          </cell>
          <cell r="O476">
            <v>0.2</v>
          </cell>
          <cell r="P476">
            <v>0.5</v>
          </cell>
          <cell r="R476">
            <v>78</v>
          </cell>
          <cell r="S476">
            <v>0</v>
          </cell>
          <cell r="T476">
            <v>3.74</v>
          </cell>
          <cell r="W476">
            <v>-6.24</v>
          </cell>
          <cell r="X476">
            <v>106</v>
          </cell>
          <cell r="Y476">
            <v>0</v>
          </cell>
        </row>
        <row r="477">
          <cell r="B477" t="str">
            <v>Pressschnitzel</v>
          </cell>
          <cell r="C477">
            <v>81294</v>
          </cell>
          <cell r="D477">
            <v>2013</v>
          </cell>
          <cell r="E477">
            <v>30.6</v>
          </cell>
          <cell r="F477">
            <v>87</v>
          </cell>
          <cell r="G477">
            <v>210</v>
          </cell>
          <cell r="H477">
            <v>5</v>
          </cell>
          <cell r="I477">
            <v>98</v>
          </cell>
          <cell r="J477">
            <v>228</v>
          </cell>
          <cell r="K477">
            <v>431</v>
          </cell>
          <cell r="L477">
            <v>1.4</v>
          </cell>
          <cell r="M477">
            <v>4</v>
          </cell>
          <cell r="N477">
            <v>9.9</v>
          </cell>
          <cell r="O477">
            <v>0.3</v>
          </cell>
          <cell r="P477">
            <v>1.5</v>
          </cell>
          <cell r="R477">
            <v>140</v>
          </cell>
          <cell r="S477">
            <v>0</v>
          </cell>
          <cell r="T477">
            <v>7.14</v>
          </cell>
          <cell r="W477">
            <v>-8.48</v>
          </cell>
          <cell r="X477">
            <v>379</v>
          </cell>
          <cell r="Y477">
            <v>0</v>
          </cell>
        </row>
        <row r="478">
          <cell r="B478" t="str">
            <v>SoBlES</v>
          </cell>
          <cell r="C478">
            <v>81295</v>
          </cell>
          <cell r="D478">
            <v>2014</v>
          </cell>
          <cell r="E478">
            <v>88.8</v>
          </cell>
          <cell r="F478">
            <v>323</v>
          </cell>
          <cell r="G478">
            <v>292</v>
          </cell>
          <cell r="H478">
            <v>48</v>
          </cell>
          <cell r="I478">
            <v>69</v>
          </cell>
          <cell r="J478">
            <v>322</v>
          </cell>
          <cell r="K478">
            <v>465</v>
          </cell>
          <cell r="L478">
            <v>1.5</v>
          </cell>
          <cell r="M478">
            <v>14.2</v>
          </cell>
          <cell r="N478">
            <v>5</v>
          </cell>
          <cell r="O478">
            <v>0.2</v>
          </cell>
          <cell r="P478">
            <v>5.4</v>
          </cell>
          <cell r="R478">
            <v>180</v>
          </cell>
          <cell r="S478">
            <v>0</v>
          </cell>
          <cell r="T478">
            <v>5.42</v>
          </cell>
          <cell r="W478">
            <v>22.88</v>
          </cell>
          <cell r="X478">
            <v>95</v>
          </cell>
          <cell r="Y478">
            <v>0</v>
          </cell>
        </row>
        <row r="479">
          <cell r="B479" t="str">
            <v>Silo 1</v>
          </cell>
          <cell r="C479">
            <v>81300</v>
          </cell>
          <cell r="D479">
            <v>2013</v>
          </cell>
          <cell r="E479">
            <v>36.700000000000003</v>
          </cell>
          <cell r="F479">
            <v>185</v>
          </cell>
          <cell r="G479">
            <v>246</v>
          </cell>
          <cell r="H479">
            <v>39</v>
          </cell>
          <cell r="I479">
            <v>123</v>
          </cell>
          <cell r="J479">
            <v>277</v>
          </cell>
          <cell r="K479">
            <v>446</v>
          </cell>
          <cell r="L479">
            <v>6</v>
          </cell>
          <cell r="M479">
            <v>21.1</v>
          </cell>
          <cell r="N479">
            <v>8.6999999999999993</v>
          </cell>
          <cell r="O479">
            <v>2.9</v>
          </cell>
          <cell r="P479">
            <v>3.3</v>
          </cell>
          <cell r="R479">
            <v>139</v>
          </cell>
          <cell r="S479">
            <v>0</v>
          </cell>
          <cell r="T479">
            <v>6.09</v>
          </cell>
          <cell r="U479">
            <v>2.83</v>
          </cell>
          <cell r="W479">
            <v>7.36</v>
          </cell>
          <cell r="X479">
            <v>207</v>
          </cell>
          <cell r="Y479">
            <v>0</v>
          </cell>
        </row>
        <row r="480">
          <cell r="B480" t="str">
            <v>Silo 09</v>
          </cell>
          <cell r="C480">
            <v>81313</v>
          </cell>
          <cell r="D480">
            <v>2014</v>
          </cell>
          <cell r="E480">
            <v>42.2</v>
          </cell>
          <cell r="F480">
            <v>163</v>
          </cell>
          <cell r="G480">
            <v>257</v>
          </cell>
          <cell r="H480">
            <v>24</v>
          </cell>
          <cell r="I480">
            <v>84</v>
          </cell>
          <cell r="J480">
            <v>280</v>
          </cell>
          <cell r="K480">
            <v>474</v>
          </cell>
          <cell r="L480">
            <v>5.5</v>
          </cell>
          <cell r="M480">
            <v>26.1</v>
          </cell>
          <cell r="N480">
            <v>5.0999999999999996</v>
          </cell>
          <cell r="O480">
            <v>2.2000000000000002</v>
          </cell>
          <cell r="P480">
            <v>1.8</v>
          </cell>
          <cell r="R480">
            <v>143</v>
          </cell>
          <cell r="S480">
            <v>0</v>
          </cell>
          <cell r="T480">
            <v>6.53</v>
          </cell>
          <cell r="U480">
            <v>2.99</v>
          </cell>
          <cell r="W480">
            <v>3.2</v>
          </cell>
          <cell r="X480">
            <v>255</v>
          </cell>
          <cell r="Y480">
            <v>0</v>
          </cell>
        </row>
        <row r="481">
          <cell r="B481" t="str">
            <v>Silo 04</v>
          </cell>
          <cell r="C481">
            <v>81314</v>
          </cell>
          <cell r="D481">
            <v>2013</v>
          </cell>
          <cell r="E481">
            <v>38</v>
          </cell>
          <cell r="F481">
            <v>161</v>
          </cell>
          <cell r="G481">
            <v>270</v>
          </cell>
          <cell r="H481">
            <v>24</v>
          </cell>
          <cell r="I481">
            <v>91</v>
          </cell>
          <cell r="J481">
            <v>283</v>
          </cell>
          <cell r="K481">
            <v>454</v>
          </cell>
          <cell r="L481">
            <v>5.2</v>
          </cell>
          <cell r="M481">
            <v>30.3</v>
          </cell>
          <cell r="N481">
            <v>5.3</v>
          </cell>
          <cell r="O481">
            <v>0.8</v>
          </cell>
          <cell r="P481">
            <v>1.9</v>
          </cell>
          <cell r="R481">
            <v>142</v>
          </cell>
          <cell r="S481">
            <v>0</v>
          </cell>
          <cell r="T481">
            <v>6.46</v>
          </cell>
          <cell r="U481">
            <v>2.88</v>
          </cell>
          <cell r="W481">
            <v>3.04</v>
          </cell>
          <cell r="X481">
            <v>270</v>
          </cell>
          <cell r="Y481">
            <v>0</v>
          </cell>
        </row>
        <row r="482">
          <cell r="B482" t="str">
            <v>Silo 02</v>
          </cell>
          <cell r="C482">
            <v>81315</v>
          </cell>
          <cell r="D482">
            <v>2014</v>
          </cell>
          <cell r="E482">
            <v>30.2</v>
          </cell>
          <cell r="F482">
            <v>136</v>
          </cell>
          <cell r="G482">
            <v>267</v>
          </cell>
          <cell r="H482">
            <v>22</v>
          </cell>
          <cell r="I482">
            <v>91</v>
          </cell>
          <cell r="J482">
            <v>292</v>
          </cell>
          <cell r="K482">
            <v>462</v>
          </cell>
          <cell r="L482">
            <v>4.8</v>
          </cell>
          <cell r="M482">
            <v>27.5</v>
          </cell>
          <cell r="N482">
            <v>4.3</v>
          </cell>
          <cell r="O482">
            <v>0.8</v>
          </cell>
          <cell r="P482">
            <v>1.5</v>
          </cell>
          <cell r="R482">
            <v>134</v>
          </cell>
          <cell r="S482">
            <v>0</v>
          </cell>
          <cell r="T482">
            <v>6.22</v>
          </cell>
          <cell r="U482">
            <v>2.92</v>
          </cell>
          <cell r="W482">
            <v>0.32</v>
          </cell>
          <cell r="X482">
            <v>289</v>
          </cell>
          <cell r="Y482">
            <v>0</v>
          </cell>
        </row>
        <row r="483">
          <cell r="B483" t="str">
            <v>Silo 5</v>
          </cell>
          <cell r="C483">
            <v>81316</v>
          </cell>
          <cell r="D483">
            <v>2012</v>
          </cell>
          <cell r="E483">
            <v>35.6</v>
          </cell>
          <cell r="F483">
            <v>76</v>
          </cell>
          <cell r="G483">
            <v>164</v>
          </cell>
          <cell r="H483">
            <v>37</v>
          </cell>
          <cell r="I483">
            <v>39</v>
          </cell>
          <cell r="J483">
            <v>174</v>
          </cell>
          <cell r="K483">
            <v>329</v>
          </cell>
          <cell r="L483">
            <v>3.1</v>
          </cell>
          <cell r="M483">
            <v>10.8</v>
          </cell>
          <cell r="N483">
            <v>2.2000000000000002</v>
          </cell>
          <cell r="O483">
            <v>0.2</v>
          </cell>
          <cell r="P483">
            <v>1.3</v>
          </cell>
          <cell r="R483">
            <v>141</v>
          </cell>
          <cell r="S483">
            <v>0</v>
          </cell>
          <cell r="T483">
            <v>7.27</v>
          </cell>
          <cell r="U483">
            <v>1.41</v>
          </cell>
          <cell r="V483">
            <v>5</v>
          </cell>
          <cell r="W483">
            <v>-10.4</v>
          </cell>
          <cell r="X483">
            <v>519</v>
          </cell>
          <cell r="Y483">
            <v>0</v>
          </cell>
        </row>
        <row r="484">
          <cell r="B484" t="str">
            <v>Silo 1</v>
          </cell>
          <cell r="C484">
            <v>81317</v>
          </cell>
          <cell r="D484">
            <v>2013</v>
          </cell>
          <cell r="E484">
            <v>36.1</v>
          </cell>
          <cell r="F484">
            <v>175</v>
          </cell>
          <cell r="G484">
            <v>250</v>
          </cell>
          <cell r="H484">
            <v>38</v>
          </cell>
          <cell r="I484">
            <v>162</v>
          </cell>
          <cell r="J484">
            <v>285</v>
          </cell>
          <cell r="K484">
            <v>418</v>
          </cell>
          <cell r="L484">
            <v>5.7</v>
          </cell>
          <cell r="M484">
            <v>21.9</v>
          </cell>
          <cell r="N484">
            <v>7.4</v>
          </cell>
          <cell r="O484">
            <v>2.4</v>
          </cell>
          <cell r="P484">
            <v>3.2</v>
          </cell>
          <cell r="R484">
            <v>130</v>
          </cell>
          <cell r="S484">
            <v>0</v>
          </cell>
          <cell r="T484">
            <v>5.61</v>
          </cell>
          <cell r="U484">
            <v>2.66</v>
          </cell>
          <cell r="V484">
            <v>76</v>
          </cell>
          <cell r="W484">
            <v>7.2</v>
          </cell>
          <cell r="X484">
            <v>207</v>
          </cell>
          <cell r="Y484">
            <v>0</v>
          </cell>
        </row>
        <row r="485">
          <cell r="B485" t="str">
            <v>Treber</v>
          </cell>
          <cell r="C485">
            <v>81318</v>
          </cell>
          <cell r="D485">
            <v>2014</v>
          </cell>
          <cell r="E485">
            <v>23.4</v>
          </cell>
          <cell r="F485">
            <v>214</v>
          </cell>
          <cell r="G485">
            <v>193</v>
          </cell>
          <cell r="H485">
            <v>69</v>
          </cell>
          <cell r="I485">
            <v>45</v>
          </cell>
          <cell r="J485">
            <v>271</v>
          </cell>
          <cell r="K485">
            <v>575</v>
          </cell>
          <cell r="L485">
            <v>8.5</v>
          </cell>
          <cell r="M485">
            <v>2.2000000000000002</v>
          </cell>
          <cell r="N485">
            <v>3.8</v>
          </cell>
          <cell r="O485">
            <v>0.2</v>
          </cell>
          <cell r="P485">
            <v>2.5</v>
          </cell>
          <cell r="R485">
            <v>190</v>
          </cell>
          <cell r="S485">
            <v>0</v>
          </cell>
          <cell r="T485">
            <v>6.53</v>
          </cell>
          <cell r="V485">
            <v>0.4</v>
          </cell>
          <cell r="W485">
            <v>3.84</v>
          </cell>
          <cell r="X485">
            <v>97</v>
          </cell>
          <cell r="Y485">
            <v>0</v>
          </cell>
        </row>
        <row r="486">
          <cell r="B486" t="str">
            <v>WGB 42/42/8/6,5/1,0/0,5</v>
          </cell>
          <cell r="C486">
            <v>81319</v>
          </cell>
          <cell r="D486">
            <v>2014</v>
          </cell>
          <cell r="E486">
            <v>88</v>
          </cell>
          <cell r="F486">
            <v>134</v>
          </cell>
          <cell r="G486">
            <v>88</v>
          </cell>
          <cell r="H486">
            <v>17</v>
          </cell>
          <cell r="I486">
            <v>96</v>
          </cell>
          <cell r="J486">
            <v>73</v>
          </cell>
          <cell r="K486">
            <v>153</v>
          </cell>
          <cell r="L486">
            <v>9.8000000000000007</v>
          </cell>
          <cell r="M486">
            <v>8.6999999999999993</v>
          </cell>
          <cell r="N486">
            <v>16.5</v>
          </cell>
          <cell r="O486">
            <v>5.9</v>
          </cell>
          <cell r="P486">
            <v>5</v>
          </cell>
          <cell r="R486">
            <v>157</v>
          </cell>
          <cell r="S486">
            <v>0</v>
          </cell>
          <cell r="T486">
            <v>7.8</v>
          </cell>
          <cell r="W486">
            <v>-3.68</v>
          </cell>
          <cell r="X486">
            <v>600</v>
          </cell>
          <cell r="Y486">
            <v>0</v>
          </cell>
        </row>
        <row r="487">
          <cell r="B487" t="str">
            <v>RES</v>
          </cell>
          <cell r="C487">
            <v>81320</v>
          </cell>
          <cell r="D487">
            <v>2014</v>
          </cell>
          <cell r="E487">
            <v>88.4</v>
          </cell>
          <cell r="F487">
            <v>384</v>
          </cell>
          <cell r="G487">
            <v>168</v>
          </cell>
          <cell r="H487">
            <v>16</v>
          </cell>
          <cell r="I487">
            <v>79</v>
          </cell>
          <cell r="J487">
            <v>246</v>
          </cell>
          <cell r="K487">
            <v>327</v>
          </cell>
          <cell r="L487">
            <v>16</v>
          </cell>
          <cell r="M487">
            <v>16</v>
          </cell>
          <cell r="N487">
            <v>8.9</v>
          </cell>
          <cell r="O487">
            <v>0.6</v>
          </cell>
          <cell r="P487">
            <v>4.8</v>
          </cell>
          <cell r="R487">
            <v>251</v>
          </cell>
          <cell r="S487">
            <v>0</v>
          </cell>
          <cell r="T487">
            <v>7.22</v>
          </cell>
          <cell r="U487">
            <v>0.36</v>
          </cell>
          <cell r="W487">
            <v>21.28</v>
          </cell>
          <cell r="X487">
            <v>194</v>
          </cell>
          <cell r="Y487">
            <v>0</v>
          </cell>
        </row>
        <row r="488">
          <cell r="B488" t="str">
            <v>gRES</v>
          </cell>
          <cell r="C488">
            <v>81321</v>
          </cell>
          <cell r="D488">
            <v>2014</v>
          </cell>
          <cell r="E488">
            <v>89.6</v>
          </cell>
          <cell r="F488">
            <v>396</v>
          </cell>
          <cell r="G488">
            <v>162</v>
          </cell>
          <cell r="H488">
            <v>20</v>
          </cell>
          <cell r="I488">
            <v>74</v>
          </cell>
          <cell r="J488">
            <v>237</v>
          </cell>
          <cell r="K488">
            <v>383</v>
          </cell>
          <cell r="L488">
            <v>17.100000000000001</v>
          </cell>
          <cell r="M488">
            <v>16</v>
          </cell>
          <cell r="N488">
            <v>7.8</v>
          </cell>
          <cell r="O488">
            <v>1</v>
          </cell>
          <cell r="P488">
            <v>5.0999999999999996</v>
          </cell>
          <cell r="R488">
            <v>358</v>
          </cell>
          <cell r="S488">
            <v>0</v>
          </cell>
          <cell r="T488">
            <v>7.31</v>
          </cell>
          <cell r="U488">
            <v>0.36</v>
          </cell>
          <cell r="W488">
            <v>6.08</v>
          </cell>
          <cell r="X488">
            <v>127</v>
          </cell>
          <cell r="Y488">
            <v>0</v>
          </cell>
        </row>
        <row r="489">
          <cell r="B489" t="str">
            <v>Stroh, Gerste</v>
          </cell>
          <cell r="C489">
            <v>81322</v>
          </cell>
          <cell r="D489">
            <v>2013</v>
          </cell>
          <cell r="E489">
            <v>91.5</v>
          </cell>
          <cell r="F489">
            <v>39</v>
          </cell>
          <cell r="G489">
            <v>446</v>
          </cell>
          <cell r="H489">
            <v>15</v>
          </cell>
          <cell r="I489">
            <v>74</v>
          </cell>
          <cell r="J489">
            <v>502</v>
          </cell>
          <cell r="K489">
            <v>759</v>
          </cell>
          <cell r="L489">
            <v>1.1000000000000001</v>
          </cell>
          <cell r="M489">
            <v>12.6</v>
          </cell>
          <cell r="N489">
            <v>3.1</v>
          </cell>
          <cell r="O489">
            <v>0.2</v>
          </cell>
          <cell r="P489">
            <v>0.5</v>
          </cell>
          <cell r="R489">
            <v>78</v>
          </cell>
          <cell r="S489">
            <v>0</v>
          </cell>
          <cell r="T489">
            <v>3.72</v>
          </cell>
          <cell r="W489">
            <v>-6.24</v>
          </cell>
          <cell r="X489">
            <v>113</v>
          </cell>
          <cell r="Y489">
            <v>0</v>
          </cell>
        </row>
        <row r="490">
          <cell r="B490" t="str">
            <v>Heu, 2. S.</v>
          </cell>
          <cell r="C490">
            <v>81323</v>
          </cell>
          <cell r="D490">
            <v>2013</v>
          </cell>
          <cell r="E490">
            <v>90</v>
          </cell>
          <cell r="F490">
            <v>200</v>
          </cell>
          <cell r="G490">
            <v>300</v>
          </cell>
          <cell r="H490">
            <v>30</v>
          </cell>
          <cell r="I490">
            <v>94</v>
          </cell>
          <cell r="J490">
            <v>309</v>
          </cell>
          <cell r="K490">
            <v>452</v>
          </cell>
          <cell r="L490">
            <v>5.3</v>
          </cell>
          <cell r="M490">
            <v>29.1</v>
          </cell>
          <cell r="N490">
            <v>5.2</v>
          </cell>
          <cell r="O490">
            <v>1.9</v>
          </cell>
          <cell r="P490">
            <v>2.2999999999999998</v>
          </cell>
          <cell r="R490">
            <v>158</v>
          </cell>
          <cell r="S490">
            <v>0</v>
          </cell>
          <cell r="T490">
            <v>6.27</v>
          </cell>
          <cell r="U490">
            <v>2.86</v>
          </cell>
          <cell r="W490">
            <v>6.72</v>
          </cell>
          <cell r="X490">
            <v>224</v>
          </cell>
          <cell r="Y490">
            <v>0</v>
          </cell>
        </row>
        <row r="491">
          <cell r="B491" t="str">
            <v>Silo 5</v>
          </cell>
          <cell r="C491">
            <v>81330</v>
          </cell>
          <cell r="D491">
            <v>2012</v>
          </cell>
          <cell r="E491">
            <v>35.6</v>
          </cell>
          <cell r="F491">
            <v>70</v>
          </cell>
          <cell r="G491">
            <v>177</v>
          </cell>
          <cell r="H491">
            <v>39</v>
          </cell>
          <cell r="I491">
            <v>36</v>
          </cell>
          <cell r="J491">
            <v>183</v>
          </cell>
          <cell r="K491">
            <v>336</v>
          </cell>
          <cell r="L491">
            <v>2.5</v>
          </cell>
          <cell r="M491">
            <v>8.6999999999999993</v>
          </cell>
          <cell r="N491">
            <v>2</v>
          </cell>
          <cell r="O491">
            <v>0.1</v>
          </cell>
          <cell r="P491">
            <v>1</v>
          </cell>
          <cell r="R491">
            <v>139</v>
          </cell>
          <cell r="S491">
            <v>0</v>
          </cell>
          <cell r="T491">
            <v>7.25</v>
          </cell>
          <cell r="U491">
            <v>1.44</v>
          </cell>
          <cell r="W491">
            <v>-11.04</v>
          </cell>
          <cell r="X491">
            <v>519</v>
          </cell>
          <cell r="Y491">
            <v>0</v>
          </cell>
        </row>
        <row r="492">
          <cell r="B492" t="str">
            <v>Silo 1</v>
          </cell>
          <cell r="C492">
            <v>81331</v>
          </cell>
          <cell r="D492">
            <v>2013</v>
          </cell>
          <cell r="E492">
            <v>36.200000000000003</v>
          </cell>
          <cell r="F492">
            <v>179</v>
          </cell>
          <cell r="G492">
            <v>268</v>
          </cell>
          <cell r="H492">
            <v>35</v>
          </cell>
          <cell r="I492">
            <v>95</v>
          </cell>
          <cell r="J492">
            <v>299</v>
          </cell>
          <cell r="K492">
            <v>448</v>
          </cell>
          <cell r="L492">
            <v>5.0999999999999996</v>
          </cell>
          <cell r="M492">
            <v>23</v>
          </cell>
          <cell r="N492">
            <v>6.6</v>
          </cell>
          <cell r="O492">
            <v>2</v>
          </cell>
          <cell r="P492">
            <v>3.2</v>
          </cell>
          <cell r="R492">
            <v>132</v>
          </cell>
          <cell r="S492">
            <v>0</v>
          </cell>
          <cell r="T492">
            <v>5.6</v>
          </cell>
          <cell r="U492">
            <v>2.84</v>
          </cell>
          <cell r="W492">
            <v>7.52</v>
          </cell>
          <cell r="X492">
            <v>243</v>
          </cell>
          <cell r="Y492">
            <v>0</v>
          </cell>
        </row>
        <row r="493">
          <cell r="B493" t="str">
            <v>Treber</v>
          </cell>
          <cell r="C493">
            <v>81332</v>
          </cell>
          <cell r="D493">
            <v>2014</v>
          </cell>
          <cell r="E493">
            <v>23.5</v>
          </cell>
          <cell r="F493">
            <v>240</v>
          </cell>
          <cell r="G493">
            <v>197</v>
          </cell>
          <cell r="H493">
            <v>89</v>
          </cell>
          <cell r="I493">
            <v>47</v>
          </cell>
          <cell r="J493">
            <v>298</v>
          </cell>
          <cell r="K493">
            <v>586</v>
          </cell>
          <cell r="L493">
            <v>9.1</v>
          </cell>
          <cell r="M493">
            <v>2.1</v>
          </cell>
          <cell r="N493">
            <v>4.3</v>
          </cell>
          <cell r="O493">
            <v>0.2</v>
          </cell>
          <cell r="P493">
            <v>1.8</v>
          </cell>
          <cell r="R493">
            <v>203</v>
          </cell>
          <cell r="S493">
            <v>0</v>
          </cell>
          <cell r="T493">
            <v>6.73</v>
          </cell>
          <cell r="U493">
            <v>1.05</v>
          </cell>
          <cell r="W493">
            <v>5.92</v>
          </cell>
          <cell r="X493">
            <v>38</v>
          </cell>
          <cell r="Y493">
            <v>0</v>
          </cell>
        </row>
        <row r="494">
          <cell r="B494" t="str">
            <v>WGB 42/42/8/6,5/1,0/0,5</v>
          </cell>
          <cell r="C494">
            <v>81333</v>
          </cell>
          <cell r="D494">
            <v>2014</v>
          </cell>
          <cell r="E494">
            <v>91</v>
          </cell>
          <cell r="F494">
            <v>121</v>
          </cell>
          <cell r="G494">
            <v>93</v>
          </cell>
          <cell r="H494">
            <v>18</v>
          </cell>
          <cell r="I494">
            <v>177</v>
          </cell>
          <cell r="J494">
            <v>119</v>
          </cell>
          <cell r="K494">
            <v>129</v>
          </cell>
          <cell r="L494">
            <v>12.7</v>
          </cell>
          <cell r="M494">
            <v>7.6</v>
          </cell>
          <cell r="N494">
            <v>30.7</v>
          </cell>
          <cell r="O494">
            <v>12</v>
          </cell>
          <cell r="P494">
            <v>8.6999999999999993</v>
          </cell>
          <cell r="R494">
            <v>135</v>
          </cell>
          <cell r="S494">
            <v>0</v>
          </cell>
          <cell r="T494">
            <v>6.51</v>
          </cell>
          <cell r="W494">
            <v>-2.2400000000000002</v>
          </cell>
          <cell r="X494">
            <v>555</v>
          </cell>
          <cell r="Y494">
            <v>0</v>
          </cell>
        </row>
        <row r="495">
          <cell r="B495" t="str">
            <v>RES</v>
          </cell>
          <cell r="C495">
            <v>81334</v>
          </cell>
          <cell r="D495">
            <v>2014</v>
          </cell>
          <cell r="E495">
            <v>88.7</v>
          </cell>
          <cell r="F495">
            <v>378</v>
          </cell>
          <cell r="G495">
            <v>167</v>
          </cell>
          <cell r="H495">
            <v>17</v>
          </cell>
          <cell r="I495">
            <v>83</v>
          </cell>
          <cell r="J495">
            <v>228</v>
          </cell>
          <cell r="K495">
            <v>338</v>
          </cell>
          <cell r="L495">
            <v>17.2</v>
          </cell>
          <cell r="M495">
            <v>15</v>
          </cell>
          <cell r="N495">
            <v>8.8000000000000007</v>
          </cell>
          <cell r="O495">
            <v>0.6</v>
          </cell>
          <cell r="P495">
            <v>4.4000000000000004</v>
          </cell>
          <cell r="R495">
            <v>325</v>
          </cell>
          <cell r="S495">
            <v>0</v>
          </cell>
          <cell r="T495">
            <v>7.2</v>
          </cell>
          <cell r="W495">
            <v>8.48</v>
          </cell>
          <cell r="X495">
            <v>184</v>
          </cell>
          <cell r="Y495">
            <v>0</v>
          </cell>
        </row>
        <row r="496">
          <cell r="B496" t="str">
            <v>gRES</v>
          </cell>
          <cell r="C496">
            <v>81335</v>
          </cell>
          <cell r="D496">
            <v>2014</v>
          </cell>
          <cell r="E496">
            <v>89.9</v>
          </cell>
          <cell r="F496">
            <v>378</v>
          </cell>
          <cell r="G496">
            <v>164</v>
          </cell>
          <cell r="H496">
            <v>20</v>
          </cell>
          <cell r="I496">
            <v>78</v>
          </cell>
          <cell r="J496">
            <v>240</v>
          </cell>
          <cell r="K496">
            <v>378</v>
          </cell>
          <cell r="L496">
            <v>17</v>
          </cell>
          <cell r="M496">
            <v>14.9</v>
          </cell>
          <cell r="N496">
            <v>7.3</v>
          </cell>
          <cell r="O496">
            <v>0.8</v>
          </cell>
          <cell r="P496">
            <v>4.7</v>
          </cell>
          <cell r="R496">
            <v>346</v>
          </cell>
          <cell r="S496">
            <v>0</v>
          </cell>
          <cell r="T496">
            <v>7.25</v>
          </cell>
          <cell r="W496">
            <v>5.12</v>
          </cell>
          <cell r="X496">
            <v>146</v>
          </cell>
          <cell r="Y496">
            <v>0</v>
          </cell>
        </row>
        <row r="497">
          <cell r="B497" t="str">
            <v>Stroh, Gerste</v>
          </cell>
          <cell r="C497">
            <v>81336</v>
          </cell>
          <cell r="D497">
            <v>2013</v>
          </cell>
          <cell r="E497">
            <v>91.8</v>
          </cell>
          <cell r="F497">
            <v>30</v>
          </cell>
          <cell r="G497">
            <v>448</v>
          </cell>
          <cell r="H497">
            <v>12</v>
          </cell>
          <cell r="I497">
            <v>61</v>
          </cell>
          <cell r="J497">
            <v>495</v>
          </cell>
          <cell r="K497">
            <v>800</v>
          </cell>
          <cell r="L497">
            <v>0.8</v>
          </cell>
          <cell r="M497">
            <v>11.4</v>
          </cell>
          <cell r="N497">
            <v>2.5</v>
          </cell>
          <cell r="O497">
            <v>0.1</v>
          </cell>
          <cell r="P497">
            <v>0.4</v>
          </cell>
          <cell r="R497">
            <v>74</v>
          </cell>
          <cell r="S497">
            <v>0</v>
          </cell>
          <cell r="T497">
            <v>3.75</v>
          </cell>
          <cell r="U497">
            <v>4.3</v>
          </cell>
          <cell r="W497">
            <v>-7.04</v>
          </cell>
          <cell r="X497">
            <v>97</v>
          </cell>
          <cell r="Y497">
            <v>0</v>
          </cell>
        </row>
        <row r="498">
          <cell r="B498" t="str">
            <v>Heu, 2. S.</v>
          </cell>
          <cell r="C498">
            <v>81337</v>
          </cell>
          <cell r="D498">
            <v>2013</v>
          </cell>
          <cell r="E498">
            <v>90.4</v>
          </cell>
          <cell r="F498">
            <v>186</v>
          </cell>
          <cell r="G498">
            <v>288</v>
          </cell>
          <cell r="H498">
            <v>22</v>
          </cell>
          <cell r="I498">
            <v>88</v>
          </cell>
          <cell r="J498">
            <v>290</v>
          </cell>
          <cell r="K498">
            <v>454</v>
          </cell>
          <cell r="L498">
            <v>5.5</v>
          </cell>
          <cell r="M498">
            <v>26.1</v>
          </cell>
          <cell r="N498">
            <v>5.5</v>
          </cell>
          <cell r="O498">
            <v>1.4</v>
          </cell>
          <cell r="P498">
            <v>2.2000000000000002</v>
          </cell>
          <cell r="R498">
            <v>154</v>
          </cell>
          <cell r="S498">
            <v>0</v>
          </cell>
          <cell r="T498">
            <v>6.22</v>
          </cell>
          <cell r="U498">
            <v>2.87</v>
          </cell>
          <cell r="W498">
            <v>5.12</v>
          </cell>
          <cell r="X498">
            <v>250</v>
          </cell>
          <cell r="Y498">
            <v>0</v>
          </cell>
        </row>
        <row r="499">
          <cell r="B499" t="str">
            <v>Silo 02</v>
          </cell>
          <cell r="C499">
            <v>81340</v>
          </cell>
          <cell r="D499">
            <v>2014</v>
          </cell>
          <cell r="F499">
            <v>141</v>
          </cell>
          <cell r="G499">
            <v>270</v>
          </cell>
          <cell r="H499">
            <v>24</v>
          </cell>
          <cell r="I499">
            <v>97</v>
          </cell>
          <cell r="J499">
            <v>292</v>
          </cell>
          <cell r="K499">
            <v>464</v>
          </cell>
          <cell r="L499">
            <v>5.4</v>
          </cell>
          <cell r="M499">
            <v>26.5</v>
          </cell>
          <cell r="N499">
            <v>5.5</v>
          </cell>
          <cell r="O499">
            <v>1.6</v>
          </cell>
          <cell r="P499">
            <v>1.8</v>
          </cell>
          <cell r="R499">
            <v>136</v>
          </cell>
          <cell r="S499">
            <v>0</v>
          </cell>
          <cell r="T499">
            <v>6.25</v>
          </cell>
          <cell r="U499">
            <v>2.93</v>
          </cell>
          <cell r="W499">
            <v>0.8</v>
          </cell>
          <cell r="X499">
            <v>274</v>
          </cell>
          <cell r="Y499">
            <v>0</v>
          </cell>
        </row>
        <row r="500">
          <cell r="B500" t="str">
            <v>Silo 7</v>
          </cell>
          <cell r="C500">
            <v>81343</v>
          </cell>
          <cell r="D500">
            <v>2013</v>
          </cell>
          <cell r="E500">
            <v>35.6</v>
          </cell>
          <cell r="F500">
            <v>78</v>
          </cell>
          <cell r="G500">
            <v>178</v>
          </cell>
          <cell r="H500">
            <v>42</v>
          </cell>
          <cell r="I500">
            <v>40</v>
          </cell>
          <cell r="J500">
            <v>198</v>
          </cell>
          <cell r="K500">
            <v>312</v>
          </cell>
          <cell r="L500">
            <v>2.7</v>
          </cell>
          <cell r="M500">
            <v>10.1</v>
          </cell>
          <cell r="N500">
            <v>2.9</v>
          </cell>
          <cell r="O500">
            <v>0.5</v>
          </cell>
          <cell r="P500">
            <v>1.3</v>
          </cell>
          <cell r="R500">
            <v>143</v>
          </cell>
          <cell r="S500">
            <v>0</v>
          </cell>
          <cell r="T500">
            <v>7.44</v>
          </cell>
          <cell r="U500">
            <v>1.3</v>
          </cell>
          <cell r="W500">
            <v>-10.4</v>
          </cell>
          <cell r="X500">
            <v>528</v>
          </cell>
          <cell r="Y500">
            <v>0</v>
          </cell>
        </row>
        <row r="501">
          <cell r="B501" t="str">
            <v>Silo 1</v>
          </cell>
          <cell r="C501">
            <v>81344</v>
          </cell>
          <cell r="D501">
            <v>2013</v>
          </cell>
          <cell r="E501">
            <v>36.1</v>
          </cell>
          <cell r="F501">
            <v>197</v>
          </cell>
          <cell r="G501">
            <v>265</v>
          </cell>
          <cell r="H501">
            <v>45</v>
          </cell>
          <cell r="I501">
            <v>108</v>
          </cell>
          <cell r="J501">
            <v>312</v>
          </cell>
          <cell r="K501">
            <v>442</v>
          </cell>
          <cell r="L501">
            <v>5.5</v>
          </cell>
          <cell r="M501">
            <v>23.4</v>
          </cell>
          <cell r="N501">
            <v>7.2</v>
          </cell>
          <cell r="O501">
            <v>1.6</v>
          </cell>
          <cell r="P501">
            <v>3</v>
          </cell>
          <cell r="R501">
            <v>136</v>
          </cell>
          <cell r="S501">
            <v>0</v>
          </cell>
          <cell r="T501">
            <v>5.76</v>
          </cell>
          <cell r="U501">
            <v>2.8</v>
          </cell>
          <cell r="W501">
            <v>9.76</v>
          </cell>
          <cell r="X501">
            <v>208</v>
          </cell>
          <cell r="Y501">
            <v>0</v>
          </cell>
        </row>
        <row r="502">
          <cell r="B502" t="str">
            <v>Treber</v>
          </cell>
          <cell r="C502">
            <v>81345</v>
          </cell>
          <cell r="D502">
            <v>2014</v>
          </cell>
          <cell r="E502">
            <v>23.5</v>
          </cell>
          <cell r="F502">
            <v>245</v>
          </cell>
          <cell r="G502">
            <v>192</v>
          </cell>
          <cell r="H502">
            <v>86</v>
          </cell>
          <cell r="I502">
            <v>48</v>
          </cell>
          <cell r="J502">
            <v>291</v>
          </cell>
          <cell r="K502">
            <v>581</v>
          </cell>
          <cell r="L502">
            <v>9.6999999999999993</v>
          </cell>
          <cell r="M502">
            <v>1.6</v>
          </cell>
          <cell r="N502">
            <v>4.7</v>
          </cell>
          <cell r="O502">
            <v>0.2</v>
          </cell>
          <cell r="P502">
            <v>2.2000000000000002</v>
          </cell>
          <cell r="R502">
            <v>205</v>
          </cell>
          <cell r="S502">
            <v>0</v>
          </cell>
          <cell r="T502">
            <v>6.7</v>
          </cell>
          <cell r="W502">
            <v>6.4</v>
          </cell>
          <cell r="X502">
            <v>40</v>
          </cell>
          <cell r="Y502">
            <v>0</v>
          </cell>
        </row>
        <row r="503">
          <cell r="B503" t="str">
            <v>WGB 42/42/8/6,5/1,0/0,5</v>
          </cell>
          <cell r="C503">
            <v>81346</v>
          </cell>
          <cell r="D503">
            <v>2014</v>
          </cell>
          <cell r="E503">
            <v>91</v>
          </cell>
          <cell r="F503">
            <v>127</v>
          </cell>
          <cell r="G503">
            <v>91</v>
          </cell>
          <cell r="H503">
            <v>19</v>
          </cell>
          <cell r="I503">
            <v>126</v>
          </cell>
          <cell r="J503">
            <v>116</v>
          </cell>
          <cell r="K503">
            <v>143</v>
          </cell>
          <cell r="L503">
            <v>10.1</v>
          </cell>
          <cell r="M503">
            <v>6.8</v>
          </cell>
          <cell r="N503">
            <v>19</v>
          </cell>
          <cell r="O503">
            <v>8.8000000000000007</v>
          </cell>
          <cell r="P503">
            <v>6.5</v>
          </cell>
          <cell r="R503">
            <v>148</v>
          </cell>
          <cell r="S503">
            <v>0</v>
          </cell>
          <cell r="T503">
            <v>7.26</v>
          </cell>
          <cell r="W503">
            <v>-3.36</v>
          </cell>
          <cell r="X503">
            <v>585</v>
          </cell>
          <cell r="Y503">
            <v>0</v>
          </cell>
        </row>
        <row r="504">
          <cell r="B504" t="str">
            <v>RES</v>
          </cell>
          <cell r="C504">
            <v>81347</v>
          </cell>
          <cell r="D504">
            <v>2014</v>
          </cell>
          <cell r="E504">
            <v>88.6</v>
          </cell>
          <cell r="F504">
            <v>380</v>
          </cell>
          <cell r="G504">
            <v>162</v>
          </cell>
          <cell r="H504">
            <v>21</v>
          </cell>
          <cell r="I504">
            <v>78</v>
          </cell>
          <cell r="J504">
            <v>235</v>
          </cell>
          <cell r="K504">
            <v>326</v>
          </cell>
          <cell r="L504">
            <v>16.3</v>
          </cell>
          <cell r="M504">
            <v>13.3</v>
          </cell>
          <cell r="N504">
            <v>7.3</v>
          </cell>
          <cell r="O504">
            <v>0.6</v>
          </cell>
          <cell r="P504">
            <v>5.6</v>
          </cell>
          <cell r="R504">
            <v>251</v>
          </cell>
          <cell r="S504">
            <v>0</v>
          </cell>
          <cell r="T504">
            <v>7.26</v>
          </cell>
          <cell r="W504">
            <v>20.64</v>
          </cell>
          <cell r="X504">
            <v>195</v>
          </cell>
          <cell r="Y504">
            <v>0</v>
          </cell>
        </row>
        <row r="505">
          <cell r="B505" t="str">
            <v>gRES</v>
          </cell>
          <cell r="C505">
            <v>81348</v>
          </cell>
          <cell r="D505">
            <v>2014</v>
          </cell>
          <cell r="E505">
            <v>89.7</v>
          </cell>
          <cell r="F505">
            <v>385</v>
          </cell>
          <cell r="G505">
            <v>156</v>
          </cell>
          <cell r="H505">
            <v>22</v>
          </cell>
          <cell r="I505">
            <v>76</v>
          </cell>
          <cell r="J505">
            <v>249</v>
          </cell>
          <cell r="K505">
            <v>365</v>
          </cell>
          <cell r="L505">
            <v>16.3</v>
          </cell>
          <cell r="M505">
            <v>13.4</v>
          </cell>
          <cell r="N505">
            <v>7.4</v>
          </cell>
          <cell r="O505">
            <v>0.9</v>
          </cell>
          <cell r="P505">
            <v>5.0999999999999996</v>
          </cell>
          <cell r="R505">
            <v>332</v>
          </cell>
          <cell r="S505">
            <v>0</v>
          </cell>
          <cell r="T505">
            <v>7.3</v>
          </cell>
          <cell r="W505">
            <v>8.48</v>
          </cell>
          <cell r="X505">
            <v>152</v>
          </cell>
          <cell r="Y505">
            <v>0</v>
          </cell>
        </row>
        <row r="506">
          <cell r="B506" t="str">
            <v>Stroh, Gerste</v>
          </cell>
          <cell r="C506">
            <v>81349</v>
          </cell>
          <cell r="D506">
            <v>2013</v>
          </cell>
          <cell r="E506">
            <v>92</v>
          </cell>
          <cell r="F506">
            <v>36</v>
          </cell>
          <cell r="G506">
            <v>455</v>
          </cell>
          <cell r="H506">
            <v>12</v>
          </cell>
          <cell r="I506">
            <v>67</v>
          </cell>
          <cell r="J506">
            <v>505</v>
          </cell>
          <cell r="K506">
            <v>798</v>
          </cell>
          <cell r="L506">
            <v>0.9</v>
          </cell>
          <cell r="M506">
            <v>9.6</v>
          </cell>
          <cell r="N506">
            <v>2.8</v>
          </cell>
          <cell r="O506">
            <v>0.1</v>
          </cell>
          <cell r="P506">
            <v>0.5</v>
          </cell>
          <cell r="R506">
            <v>76</v>
          </cell>
          <cell r="S506">
            <v>0</v>
          </cell>
          <cell r="T506">
            <v>3.73</v>
          </cell>
          <cell r="W506">
            <v>-6.4</v>
          </cell>
          <cell r="X506">
            <v>87</v>
          </cell>
          <cell r="Y506">
            <v>0</v>
          </cell>
        </row>
        <row r="507">
          <cell r="B507" t="str">
            <v>Heu, 2. S.</v>
          </cell>
          <cell r="C507">
            <v>81350</v>
          </cell>
          <cell r="D507">
            <v>2013</v>
          </cell>
          <cell r="E507">
            <v>91.1</v>
          </cell>
          <cell r="F507">
            <v>178</v>
          </cell>
          <cell r="G507">
            <v>287</v>
          </cell>
          <cell r="H507">
            <v>24</v>
          </cell>
          <cell r="I507">
            <v>65</v>
          </cell>
          <cell r="J507">
            <v>294</v>
          </cell>
          <cell r="K507">
            <v>500</v>
          </cell>
          <cell r="L507">
            <v>5.6</v>
          </cell>
          <cell r="M507">
            <v>14.8</v>
          </cell>
          <cell r="N507">
            <v>5</v>
          </cell>
          <cell r="O507">
            <v>3.4</v>
          </cell>
          <cell r="P507">
            <v>2.2999999999999998</v>
          </cell>
          <cell r="R507">
            <v>154</v>
          </cell>
          <cell r="S507">
            <v>0</v>
          </cell>
          <cell r="T507">
            <v>6.35</v>
          </cell>
          <cell r="U507">
            <v>3.15</v>
          </cell>
          <cell r="W507">
            <v>3.84</v>
          </cell>
          <cell r="X507">
            <v>233</v>
          </cell>
          <cell r="Y507">
            <v>0</v>
          </cell>
        </row>
        <row r="508">
          <cell r="B508" t="str">
            <v>Silo 07</v>
          </cell>
          <cell r="C508">
            <v>81355</v>
          </cell>
          <cell r="D508" t="str">
            <v>2013</v>
          </cell>
          <cell r="E508">
            <v>34.799999999999997</v>
          </cell>
          <cell r="F508">
            <v>74</v>
          </cell>
          <cell r="G508">
            <v>178</v>
          </cell>
          <cell r="H508">
            <v>41</v>
          </cell>
          <cell r="I508">
            <v>36</v>
          </cell>
          <cell r="J508">
            <v>194</v>
          </cell>
          <cell r="K508">
            <v>339</v>
          </cell>
          <cell r="L508">
            <v>2.4</v>
          </cell>
          <cell r="M508">
            <v>8.3000000000000007</v>
          </cell>
          <cell r="N508">
            <v>2.5</v>
          </cell>
          <cell r="O508">
            <v>0.2</v>
          </cell>
          <cell r="P508">
            <v>1</v>
          </cell>
          <cell r="Q508">
            <v>0.25</v>
          </cell>
          <cell r="R508">
            <v>140</v>
          </cell>
          <cell r="S508">
            <v>11.83</v>
          </cell>
          <cell r="T508">
            <v>7.27</v>
          </cell>
          <cell r="U508">
            <v>1.46</v>
          </cell>
          <cell r="W508">
            <v>-10.56</v>
          </cell>
          <cell r="X508">
            <v>510</v>
          </cell>
          <cell r="Y508">
            <v>0</v>
          </cell>
        </row>
        <row r="509">
          <cell r="B509" t="str">
            <v>Silo 1</v>
          </cell>
          <cell r="C509">
            <v>81356</v>
          </cell>
          <cell r="D509">
            <v>2013</v>
          </cell>
          <cell r="E509">
            <v>36.200000000000003</v>
          </cell>
          <cell r="F509">
            <v>197</v>
          </cell>
          <cell r="G509">
            <v>262</v>
          </cell>
          <cell r="H509">
            <v>47</v>
          </cell>
          <cell r="I509">
            <v>92</v>
          </cell>
          <cell r="J509">
            <v>302</v>
          </cell>
          <cell r="K509">
            <v>456</v>
          </cell>
          <cell r="L509">
            <v>5.6</v>
          </cell>
          <cell r="M509">
            <v>22.8</v>
          </cell>
          <cell r="N509">
            <v>6.5</v>
          </cell>
          <cell r="O509">
            <v>2.1</v>
          </cell>
          <cell r="P509">
            <v>3.5</v>
          </cell>
          <cell r="R509">
            <v>140</v>
          </cell>
          <cell r="S509">
            <v>0</v>
          </cell>
          <cell r="T509">
            <v>5.96</v>
          </cell>
          <cell r="U509">
            <v>2.89</v>
          </cell>
          <cell r="W509">
            <v>9.1199999999999992</v>
          </cell>
          <cell r="X509">
            <v>208</v>
          </cell>
          <cell r="Y509">
            <v>0</v>
          </cell>
        </row>
        <row r="510">
          <cell r="B510" t="str">
            <v>Treber</v>
          </cell>
          <cell r="C510">
            <v>81357</v>
          </cell>
          <cell r="D510">
            <v>2014</v>
          </cell>
          <cell r="E510">
            <v>23.2</v>
          </cell>
          <cell r="F510">
            <v>246</v>
          </cell>
          <cell r="G510">
            <v>199</v>
          </cell>
          <cell r="H510">
            <v>95</v>
          </cell>
          <cell r="I510">
            <v>43</v>
          </cell>
          <cell r="J510">
            <v>293</v>
          </cell>
          <cell r="K510">
            <v>583</v>
          </cell>
          <cell r="L510">
            <v>8.1999999999999993</v>
          </cell>
          <cell r="M510">
            <v>1.8</v>
          </cell>
          <cell r="N510">
            <v>4.3</v>
          </cell>
          <cell r="O510">
            <v>0.2</v>
          </cell>
          <cell r="P510">
            <v>1.7</v>
          </cell>
          <cell r="R510">
            <v>207</v>
          </cell>
          <cell r="S510">
            <v>0</v>
          </cell>
          <cell r="T510">
            <v>6.82</v>
          </cell>
          <cell r="W510">
            <v>6.24</v>
          </cell>
          <cell r="X510">
            <v>33</v>
          </cell>
          <cell r="Y510">
            <v>0</v>
          </cell>
        </row>
        <row r="511">
          <cell r="B511" t="str">
            <v>WGB 42/42/8/6,5/1,0/0,5</v>
          </cell>
          <cell r="C511">
            <v>81358</v>
          </cell>
          <cell r="D511">
            <v>2014</v>
          </cell>
          <cell r="E511">
            <v>90.8</v>
          </cell>
          <cell r="F511">
            <v>124</v>
          </cell>
          <cell r="G511">
            <v>93</v>
          </cell>
          <cell r="H511">
            <v>19</v>
          </cell>
          <cell r="I511">
            <v>166</v>
          </cell>
          <cell r="J511">
            <v>114</v>
          </cell>
          <cell r="K511">
            <v>141</v>
          </cell>
          <cell r="L511">
            <v>11.6</v>
          </cell>
          <cell r="M511">
            <v>7.6</v>
          </cell>
          <cell r="N511">
            <v>20.399999999999999</v>
          </cell>
          <cell r="O511">
            <v>14.8</v>
          </cell>
          <cell r="P511">
            <v>8.9</v>
          </cell>
          <cell r="R511">
            <v>139</v>
          </cell>
          <cell r="S511">
            <v>0</v>
          </cell>
          <cell r="T511">
            <v>6.7</v>
          </cell>
          <cell r="W511">
            <v>-2.4</v>
          </cell>
          <cell r="X511">
            <v>550</v>
          </cell>
          <cell r="Y511">
            <v>0</v>
          </cell>
        </row>
        <row r="512">
          <cell r="B512" t="str">
            <v>RES</v>
          </cell>
          <cell r="C512">
            <v>81359</v>
          </cell>
          <cell r="D512">
            <v>2014</v>
          </cell>
          <cell r="E512">
            <v>88.5</v>
          </cell>
          <cell r="F512">
            <v>387</v>
          </cell>
          <cell r="G512">
            <v>144</v>
          </cell>
          <cell r="H512">
            <v>20</v>
          </cell>
          <cell r="I512">
            <v>82</v>
          </cell>
          <cell r="J512">
            <v>234</v>
          </cell>
          <cell r="K512">
            <v>321</v>
          </cell>
          <cell r="L512">
            <v>15.9</v>
          </cell>
          <cell r="M512">
            <v>14.2</v>
          </cell>
          <cell r="N512">
            <v>7.1</v>
          </cell>
          <cell r="O512">
            <v>0.6</v>
          </cell>
          <cell r="P512">
            <v>5</v>
          </cell>
          <cell r="R512">
            <v>253</v>
          </cell>
          <cell r="S512">
            <v>0</v>
          </cell>
          <cell r="T512">
            <v>7.25</v>
          </cell>
          <cell r="W512">
            <v>21.44</v>
          </cell>
          <cell r="X512">
            <v>190</v>
          </cell>
          <cell r="Y512">
            <v>0</v>
          </cell>
        </row>
        <row r="513">
          <cell r="B513" t="str">
            <v>gRES</v>
          </cell>
          <cell r="C513">
            <v>81360</v>
          </cell>
          <cell r="D513">
            <v>2014</v>
          </cell>
          <cell r="E513">
            <v>89.8</v>
          </cell>
          <cell r="F513">
            <v>386</v>
          </cell>
          <cell r="G513">
            <v>152</v>
          </cell>
          <cell r="H513">
            <v>20</v>
          </cell>
          <cell r="I513">
            <v>77</v>
          </cell>
          <cell r="J513">
            <v>241</v>
          </cell>
          <cell r="K513">
            <v>364</v>
          </cell>
          <cell r="L513">
            <v>17</v>
          </cell>
          <cell r="M513">
            <v>15</v>
          </cell>
          <cell r="N513">
            <v>7.9</v>
          </cell>
          <cell r="O513">
            <v>0.8</v>
          </cell>
          <cell r="P513">
            <v>5</v>
          </cell>
          <cell r="R513">
            <v>332</v>
          </cell>
          <cell r="S513">
            <v>0</v>
          </cell>
          <cell r="T513">
            <v>7.28</v>
          </cell>
          <cell r="W513">
            <v>8.64</v>
          </cell>
          <cell r="X513">
            <v>153</v>
          </cell>
          <cell r="Y513">
            <v>0</v>
          </cell>
        </row>
        <row r="514">
          <cell r="B514" t="str">
            <v>Stroh, Weizen</v>
          </cell>
          <cell r="C514">
            <v>81361</v>
          </cell>
          <cell r="D514">
            <v>2013</v>
          </cell>
          <cell r="E514">
            <v>92.1</v>
          </cell>
          <cell r="F514">
            <v>33</v>
          </cell>
          <cell r="G514">
            <v>453</v>
          </cell>
          <cell r="H514">
            <v>12</v>
          </cell>
          <cell r="I514">
            <v>76</v>
          </cell>
          <cell r="J514">
            <v>498</v>
          </cell>
          <cell r="K514">
            <v>803</v>
          </cell>
          <cell r="L514">
            <v>1</v>
          </cell>
          <cell r="M514">
            <v>11.2</v>
          </cell>
          <cell r="N514">
            <v>2.8</v>
          </cell>
          <cell r="O514">
            <v>0.2</v>
          </cell>
          <cell r="P514">
            <v>0.5</v>
          </cell>
          <cell r="Q514">
            <v>0.45</v>
          </cell>
          <cell r="R514">
            <v>71</v>
          </cell>
          <cell r="S514">
            <v>6.27</v>
          </cell>
          <cell r="T514">
            <v>6.27</v>
          </cell>
          <cell r="W514">
            <v>-6.08</v>
          </cell>
          <cell r="X514">
            <v>76</v>
          </cell>
          <cell r="Y514">
            <v>0</v>
          </cell>
        </row>
        <row r="515">
          <cell r="B515" t="str">
            <v>Heu, 2. S.</v>
          </cell>
          <cell r="C515">
            <v>81362</v>
          </cell>
          <cell r="D515">
            <v>2013</v>
          </cell>
          <cell r="E515">
            <v>91</v>
          </cell>
          <cell r="F515">
            <v>169</v>
          </cell>
          <cell r="G515">
            <v>277</v>
          </cell>
          <cell r="H515">
            <v>25</v>
          </cell>
          <cell r="I515">
            <v>77</v>
          </cell>
          <cell r="J515">
            <v>310</v>
          </cell>
          <cell r="K515">
            <v>512</v>
          </cell>
          <cell r="L515">
            <v>5.9</v>
          </cell>
          <cell r="M515">
            <v>21.6</v>
          </cell>
          <cell r="N515">
            <v>5.5</v>
          </cell>
          <cell r="O515">
            <v>2.7</v>
          </cell>
          <cell r="P515">
            <v>1.9</v>
          </cell>
          <cell r="R515">
            <v>150</v>
          </cell>
          <cell r="S515">
            <v>0</v>
          </cell>
          <cell r="T515">
            <v>6.21</v>
          </cell>
          <cell r="W515">
            <v>3.04</v>
          </cell>
          <cell r="X515">
            <v>217</v>
          </cell>
          <cell r="Y515">
            <v>0</v>
          </cell>
        </row>
        <row r="516">
          <cell r="B516" t="str">
            <v>Silo 07</v>
          </cell>
          <cell r="C516">
            <v>81370</v>
          </cell>
          <cell r="D516" t="str">
            <v>2013</v>
          </cell>
          <cell r="E516">
            <v>35.700000000000003</v>
          </cell>
          <cell r="F516">
            <v>74</v>
          </cell>
          <cell r="G516">
            <v>183</v>
          </cell>
          <cell r="H516">
            <v>44</v>
          </cell>
          <cell r="I516">
            <v>35</v>
          </cell>
          <cell r="J516">
            <v>177</v>
          </cell>
          <cell r="K516">
            <v>334</v>
          </cell>
          <cell r="L516">
            <v>2.7</v>
          </cell>
          <cell r="M516">
            <v>8.6999999999999993</v>
          </cell>
          <cell r="N516">
            <v>2.5</v>
          </cell>
          <cell r="O516">
            <v>0.3</v>
          </cell>
          <cell r="P516">
            <v>1.2</v>
          </cell>
          <cell r="Q516">
            <v>0.25</v>
          </cell>
          <cell r="R516">
            <v>143</v>
          </cell>
          <cell r="S516">
            <v>12.16</v>
          </cell>
          <cell r="T516">
            <v>7.53</v>
          </cell>
          <cell r="U516">
            <v>1.44</v>
          </cell>
          <cell r="W516">
            <v>-11.04</v>
          </cell>
          <cell r="X516">
            <v>513</v>
          </cell>
          <cell r="Y516">
            <v>0</v>
          </cell>
        </row>
        <row r="517">
          <cell r="B517" t="str">
            <v>Silo 04</v>
          </cell>
          <cell r="C517">
            <v>81371</v>
          </cell>
          <cell r="D517">
            <v>2013</v>
          </cell>
          <cell r="E517">
            <v>35.799999999999997</v>
          </cell>
          <cell r="F517">
            <v>166</v>
          </cell>
          <cell r="G517">
            <v>275</v>
          </cell>
          <cell r="H517">
            <v>37</v>
          </cell>
          <cell r="I517">
            <v>103</v>
          </cell>
          <cell r="J517">
            <v>312</v>
          </cell>
          <cell r="K517">
            <v>458</v>
          </cell>
          <cell r="L517">
            <v>5.7</v>
          </cell>
          <cell r="M517">
            <v>28.1</v>
          </cell>
          <cell r="N517">
            <v>7.5</v>
          </cell>
          <cell r="O517">
            <v>2.7</v>
          </cell>
          <cell r="P517">
            <v>2.4</v>
          </cell>
          <cell r="R517">
            <v>133</v>
          </cell>
          <cell r="S517">
            <v>0</v>
          </cell>
          <cell r="T517">
            <v>5.83</v>
          </cell>
          <cell r="U517">
            <v>2.9</v>
          </cell>
          <cell r="W517">
            <v>5.28</v>
          </cell>
          <cell r="X517">
            <v>236</v>
          </cell>
          <cell r="Y517">
            <v>0</v>
          </cell>
        </row>
        <row r="518">
          <cell r="B518" t="str">
            <v>Treber</v>
          </cell>
          <cell r="C518">
            <v>81372</v>
          </cell>
          <cell r="D518">
            <v>2014</v>
          </cell>
          <cell r="E518">
            <v>23.8</v>
          </cell>
          <cell r="F518">
            <v>227</v>
          </cell>
          <cell r="G518">
            <v>196</v>
          </cell>
          <cell r="H518">
            <v>94</v>
          </cell>
          <cell r="I518">
            <v>42</v>
          </cell>
          <cell r="J518">
            <v>292</v>
          </cell>
          <cell r="K518">
            <v>583</v>
          </cell>
          <cell r="L518">
            <v>7.8</v>
          </cell>
          <cell r="M518">
            <v>2.1</v>
          </cell>
          <cell r="N518">
            <v>4.0999999999999996</v>
          </cell>
          <cell r="O518">
            <v>0.5</v>
          </cell>
          <cell r="P518">
            <v>1.7</v>
          </cell>
          <cell r="R518">
            <v>199</v>
          </cell>
          <cell r="S518">
            <v>0</v>
          </cell>
          <cell r="T518">
            <v>6.79</v>
          </cell>
          <cell r="W518">
            <v>4.4800000000000004</v>
          </cell>
          <cell r="X518">
            <v>54</v>
          </cell>
          <cell r="Y518">
            <v>0</v>
          </cell>
        </row>
        <row r="519">
          <cell r="B519" t="str">
            <v>WGB 42/42/8/6,5/1,0/0,5</v>
          </cell>
          <cell r="C519">
            <v>81373</v>
          </cell>
          <cell r="D519">
            <v>2014</v>
          </cell>
          <cell r="E519">
            <v>90.9</v>
          </cell>
          <cell r="F519">
            <v>131</v>
          </cell>
          <cell r="G519">
            <v>104</v>
          </cell>
          <cell r="H519">
            <v>20</v>
          </cell>
          <cell r="I519">
            <v>102</v>
          </cell>
          <cell r="J519">
            <v>117</v>
          </cell>
          <cell r="K519">
            <v>142</v>
          </cell>
          <cell r="L519">
            <v>8.8000000000000007</v>
          </cell>
          <cell r="M519">
            <v>7.9</v>
          </cell>
          <cell r="N519">
            <v>20.7</v>
          </cell>
          <cell r="O519">
            <v>5.4</v>
          </cell>
          <cell r="P519">
            <v>5.2</v>
          </cell>
          <cell r="R519">
            <v>157</v>
          </cell>
          <cell r="S519">
            <v>0</v>
          </cell>
          <cell r="T519">
            <v>7.86</v>
          </cell>
          <cell r="W519">
            <v>-4.16</v>
          </cell>
          <cell r="X519">
            <v>605</v>
          </cell>
          <cell r="Y519">
            <v>0</v>
          </cell>
        </row>
        <row r="520">
          <cell r="B520" t="str">
            <v>RES</v>
          </cell>
          <cell r="C520">
            <v>81374</v>
          </cell>
          <cell r="D520">
            <v>2014</v>
          </cell>
          <cell r="E520">
            <v>88.8</v>
          </cell>
          <cell r="F520">
            <v>383</v>
          </cell>
          <cell r="G520">
            <v>144</v>
          </cell>
          <cell r="H520">
            <v>23</v>
          </cell>
          <cell r="I520">
            <v>80</v>
          </cell>
          <cell r="J520">
            <v>239</v>
          </cell>
          <cell r="K520">
            <v>319</v>
          </cell>
          <cell r="L520">
            <v>17.2</v>
          </cell>
          <cell r="M520">
            <v>15.4</v>
          </cell>
          <cell r="N520">
            <v>9.1</v>
          </cell>
          <cell r="O520">
            <v>0.6</v>
          </cell>
          <cell r="P520">
            <v>5.2</v>
          </cell>
          <cell r="R520">
            <v>252</v>
          </cell>
          <cell r="S520">
            <v>0</v>
          </cell>
          <cell r="T520">
            <v>7.28</v>
          </cell>
          <cell r="W520">
            <v>20.96</v>
          </cell>
          <cell r="X520">
            <v>195</v>
          </cell>
          <cell r="Y520">
            <v>0</v>
          </cell>
        </row>
        <row r="521">
          <cell r="B521" t="str">
            <v>gRES</v>
          </cell>
          <cell r="C521">
            <v>81375</v>
          </cell>
          <cell r="D521">
            <v>2014</v>
          </cell>
          <cell r="E521">
            <v>90.1</v>
          </cell>
          <cell r="F521">
            <v>389</v>
          </cell>
          <cell r="G521">
            <v>154</v>
          </cell>
          <cell r="H521">
            <v>22</v>
          </cell>
          <cell r="I521">
            <v>77</v>
          </cell>
          <cell r="J521">
            <v>242</v>
          </cell>
          <cell r="K521">
            <v>364</v>
          </cell>
          <cell r="L521">
            <v>17.399999999999999</v>
          </cell>
          <cell r="M521">
            <v>15.4</v>
          </cell>
          <cell r="N521">
            <v>8.6999999999999993</v>
          </cell>
          <cell r="O521">
            <v>0.8</v>
          </cell>
          <cell r="P521">
            <v>4.7</v>
          </cell>
          <cell r="R521">
            <v>334</v>
          </cell>
          <cell r="S521">
            <v>0</v>
          </cell>
          <cell r="T521">
            <v>7.3</v>
          </cell>
          <cell r="W521">
            <v>8.8000000000000007</v>
          </cell>
          <cell r="X521">
            <v>148</v>
          </cell>
          <cell r="Y521">
            <v>0</v>
          </cell>
        </row>
        <row r="522">
          <cell r="B522" t="str">
            <v>Stroh, Weizen</v>
          </cell>
          <cell r="C522">
            <v>81376</v>
          </cell>
          <cell r="D522">
            <v>2013</v>
          </cell>
          <cell r="E522">
            <v>92</v>
          </cell>
          <cell r="F522">
            <v>33</v>
          </cell>
          <cell r="G522">
            <v>458</v>
          </cell>
          <cell r="H522">
            <v>12</v>
          </cell>
          <cell r="I522">
            <v>63</v>
          </cell>
          <cell r="J522">
            <v>502</v>
          </cell>
          <cell r="K522">
            <v>794</v>
          </cell>
          <cell r="L522">
            <v>1</v>
          </cell>
          <cell r="M522">
            <v>12.5</v>
          </cell>
          <cell r="N522">
            <v>3</v>
          </cell>
          <cell r="O522">
            <v>0.2</v>
          </cell>
          <cell r="P522">
            <v>0.5</v>
          </cell>
          <cell r="Q522">
            <v>0.45</v>
          </cell>
          <cell r="R522">
            <v>72</v>
          </cell>
          <cell r="S522">
            <v>6.35</v>
          </cell>
          <cell r="T522">
            <v>3.48</v>
          </cell>
          <cell r="U522">
            <v>4.3</v>
          </cell>
          <cell r="W522">
            <v>-6.24</v>
          </cell>
          <cell r="X522">
            <v>98</v>
          </cell>
          <cell r="Y522">
            <v>0</v>
          </cell>
        </row>
        <row r="523">
          <cell r="B523" t="str">
            <v>Heu, 2. S.</v>
          </cell>
          <cell r="C523">
            <v>81377</v>
          </cell>
          <cell r="D523">
            <v>2013</v>
          </cell>
          <cell r="E523">
            <v>89.4</v>
          </cell>
          <cell r="F523">
            <v>185</v>
          </cell>
          <cell r="G523">
            <v>283</v>
          </cell>
          <cell r="H523">
            <v>22</v>
          </cell>
          <cell r="I523">
            <v>91</v>
          </cell>
          <cell r="J523">
            <v>308</v>
          </cell>
          <cell r="K523">
            <v>506</v>
          </cell>
          <cell r="L523">
            <v>5.0999999999999996</v>
          </cell>
          <cell r="M523">
            <v>29.8</v>
          </cell>
          <cell r="N523">
            <v>5.5</v>
          </cell>
          <cell r="O523">
            <v>1.6</v>
          </cell>
          <cell r="P523">
            <v>1.9</v>
          </cell>
          <cell r="R523">
            <v>154</v>
          </cell>
          <cell r="S523">
            <v>0</v>
          </cell>
          <cell r="T523">
            <v>6.21</v>
          </cell>
          <cell r="U523">
            <v>3.18</v>
          </cell>
          <cell r="W523">
            <v>4.96</v>
          </cell>
          <cell r="X523">
            <v>196</v>
          </cell>
          <cell r="Y523">
            <v>0</v>
          </cell>
        </row>
        <row r="524">
          <cell r="B524" t="str">
            <v>Heu, 3. S.</v>
          </cell>
          <cell r="C524">
            <v>81379</v>
          </cell>
          <cell r="D524">
            <v>2014</v>
          </cell>
          <cell r="E524">
            <v>87.5</v>
          </cell>
          <cell r="F524">
            <v>106</v>
          </cell>
          <cell r="G524">
            <v>343</v>
          </cell>
          <cell r="H524">
            <v>21</v>
          </cell>
          <cell r="I524">
            <v>78</v>
          </cell>
          <cell r="J524">
            <v>357</v>
          </cell>
          <cell r="K524">
            <v>522</v>
          </cell>
          <cell r="L524">
            <v>4.5999999999999996</v>
          </cell>
          <cell r="M524">
            <v>19.8</v>
          </cell>
          <cell r="N524">
            <v>5.0999999999999996</v>
          </cell>
          <cell r="O524">
            <v>1.3</v>
          </cell>
          <cell r="P524">
            <v>1.8</v>
          </cell>
          <cell r="R524">
            <v>123</v>
          </cell>
          <cell r="S524">
            <v>0</v>
          </cell>
          <cell r="T524">
            <v>5.49</v>
          </cell>
          <cell r="U524">
            <v>3.28</v>
          </cell>
          <cell r="W524">
            <v>-2.72</v>
          </cell>
          <cell r="X524">
            <v>273</v>
          </cell>
          <cell r="Y524">
            <v>0</v>
          </cell>
        </row>
        <row r="525">
          <cell r="B525" t="str">
            <v>Heu, 3. S.</v>
          </cell>
          <cell r="C525">
            <v>81380</v>
          </cell>
          <cell r="D525">
            <v>2014</v>
          </cell>
          <cell r="E525">
            <v>87.6</v>
          </cell>
          <cell r="F525">
            <v>122</v>
          </cell>
          <cell r="G525">
            <v>333</v>
          </cell>
          <cell r="H525">
            <v>24</v>
          </cell>
          <cell r="I525">
            <v>85</v>
          </cell>
          <cell r="J525">
            <v>343</v>
          </cell>
          <cell r="K525">
            <v>523</v>
          </cell>
          <cell r="L525">
            <v>4.5</v>
          </cell>
          <cell r="M525">
            <v>21.1</v>
          </cell>
          <cell r="N525">
            <v>5.7</v>
          </cell>
          <cell r="O525">
            <v>1.7</v>
          </cell>
          <cell r="P525">
            <v>1.9</v>
          </cell>
          <cell r="R525">
            <v>129</v>
          </cell>
          <cell r="S525">
            <v>0</v>
          </cell>
          <cell r="T525">
            <v>5.63</v>
          </cell>
          <cell r="U525">
            <v>3.29</v>
          </cell>
          <cell r="W525">
            <v>-1.1200000000000001</v>
          </cell>
          <cell r="X525">
            <v>246</v>
          </cell>
          <cell r="Y525">
            <v>0</v>
          </cell>
        </row>
        <row r="526">
          <cell r="B526" t="str">
            <v>Silo 02</v>
          </cell>
          <cell r="C526">
            <v>81383</v>
          </cell>
          <cell r="D526">
            <v>2014</v>
          </cell>
          <cell r="E526">
            <v>32.299999999999997</v>
          </cell>
          <cell r="F526">
            <v>158</v>
          </cell>
          <cell r="G526">
            <v>281</v>
          </cell>
          <cell r="H526">
            <v>31</v>
          </cell>
          <cell r="I526">
            <v>101</v>
          </cell>
          <cell r="J526">
            <v>309</v>
          </cell>
          <cell r="K526">
            <v>452</v>
          </cell>
          <cell r="L526">
            <v>5.4</v>
          </cell>
          <cell r="M526">
            <v>32.299999999999997</v>
          </cell>
          <cell r="N526">
            <v>5</v>
          </cell>
          <cell r="O526">
            <v>1.1000000000000001</v>
          </cell>
          <cell r="P526">
            <v>1.9</v>
          </cell>
          <cell r="Q526">
            <v>0.15</v>
          </cell>
          <cell r="R526">
            <v>139</v>
          </cell>
          <cell r="S526">
            <v>10.49</v>
          </cell>
          <cell r="T526">
            <v>6.31</v>
          </cell>
          <cell r="U526">
            <v>2.86</v>
          </cell>
          <cell r="V526">
            <v>76</v>
          </cell>
          <cell r="W526">
            <v>3.04</v>
          </cell>
          <cell r="X526">
            <v>258</v>
          </cell>
          <cell r="Y526">
            <v>0</v>
          </cell>
        </row>
        <row r="527">
          <cell r="B527" t="str">
            <v>Silo 09</v>
          </cell>
          <cell r="C527">
            <v>81384</v>
          </cell>
          <cell r="D527">
            <v>2014</v>
          </cell>
          <cell r="E527">
            <v>30.9</v>
          </cell>
          <cell r="F527">
            <v>161</v>
          </cell>
          <cell r="G527">
            <v>285</v>
          </cell>
          <cell r="H527">
            <v>39</v>
          </cell>
          <cell r="I527">
            <v>120</v>
          </cell>
          <cell r="J527">
            <v>320</v>
          </cell>
          <cell r="K527">
            <v>477</v>
          </cell>
          <cell r="L527">
            <v>5.9</v>
          </cell>
          <cell r="M527">
            <v>40.6</v>
          </cell>
          <cell r="N527">
            <v>6.2</v>
          </cell>
          <cell r="O527">
            <v>1.5</v>
          </cell>
          <cell r="P527">
            <v>2.1</v>
          </cell>
          <cell r="R527">
            <v>136</v>
          </cell>
          <cell r="S527">
            <v>0</v>
          </cell>
          <cell r="T527">
            <v>6.09</v>
          </cell>
          <cell r="U527">
            <v>3.01</v>
          </cell>
          <cell r="V527">
            <v>13</v>
          </cell>
          <cell r="W527">
            <v>4</v>
          </cell>
          <cell r="X527">
            <v>203</v>
          </cell>
          <cell r="Y527">
            <v>0</v>
          </cell>
        </row>
        <row r="528">
          <cell r="B528" t="str">
            <v>Treber</v>
          </cell>
          <cell r="C528">
            <v>81385</v>
          </cell>
          <cell r="D528">
            <v>2014</v>
          </cell>
          <cell r="E528">
            <v>25.4</v>
          </cell>
          <cell r="F528">
            <v>248</v>
          </cell>
          <cell r="G528">
            <v>210</v>
          </cell>
          <cell r="H528">
            <v>105</v>
          </cell>
          <cell r="I528">
            <v>44</v>
          </cell>
          <cell r="J528">
            <v>309</v>
          </cell>
          <cell r="K528">
            <v>600</v>
          </cell>
          <cell r="L528">
            <v>9.1</v>
          </cell>
          <cell r="M528">
            <v>1.3</v>
          </cell>
          <cell r="N528">
            <v>5.2</v>
          </cell>
          <cell r="O528">
            <v>0.3</v>
          </cell>
          <cell r="P528">
            <v>2.5</v>
          </cell>
          <cell r="R528">
            <v>209</v>
          </cell>
          <cell r="S528">
            <v>0</v>
          </cell>
          <cell r="T528">
            <v>6.9</v>
          </cell>
          <cell r="W528">
            <v>6.24</v>
          </cell>
          <cell r="X528">
            <v>3</v>
          </cell>
          <cell r="Y528">
            <v>0</v>
          </cell>
        </row>
        <row r="529">
          <cell r="B529" t="str">
            <v>Silo 07</v>
          </cell>
          <cell r="C529">
            <v>81388</v>
          </cell>
          <cell r="D529" t="str">
            <v>2013</v>
          </cell>
          <cell r="E529">
            <v>35.9</v>
          </cell>
          <cell r="F529">
            <v>121</v>
          </cell>
          <cell r="G529">
            <v>179</v>
          </cell>
          <cell r="H529">
            <v>55</v>
          </cell>
          <cell r="I529">
            <v>39</v>
          </cell>
          <cell r="J529">
            <v>201</v>
          </cell>
          <cell r="K529">
            <v>350</v>
          </cell>
          <cell r="L529">
            <v>4</v>
          </cell>
          <cell r="M529">
            <v>7.2</v>
          </cell>
          <cell r="N529">
            <v>3.1</v>
          </cell>
          <cell r="O529">
            <v>0.2</v>
          </cell>
          <cell r="P529">
            <v>1.2</v>
          </cell>
          <cell r="Q529">
            <v>0.25</v>
          </cell>
          <cell r="R529">
            <v>153</v>
          </cell>
          <cell r="S529">
            <v>11.9</v>
          </cell>
          <cell r="T529">
            <v>7.33</v>
          </cell>
          <cell r="U529">
            <v>1.53</v>
          </cell>
          <cell r="W529">
            <v>-5.12</v>
          </cell>
          <cell r="X529">
            <v>435</v>
          </cell>
          <cell r="Y529">
            <v>0</v>
          </cell>
        </row>
        <row r="530">
          <cell r="B530" t="str">
            <v>Silo 04</v>
          </cell>
          <cell r="C530">
            <v>81389</v>
          </cell>
          <cell r="D530">
            <v>2013</v>
          </cell>
          <cell r="E530">
            <v>35.9</v>
          </cell>
          <cell r="F530">
            <v>175</v>
          </cell>
          <cell r="G530">
            <v>276</v>
          </cell>
          <cell r="H530">
            <v>39</v>
          </cell>
          <cell r="I530">
            <v>97</v>
          </cell>
          <cell r="J530">
            <v>317</v>
          </cell>
          <cell r="K530">
            <v>453</v>
          </cell>
          <cell r="L530">
            <v>5.4</v>
          </cell>
          <cell r="M530">
            <v>31.2</v>
          </cell>
          <cell r="N530">
            <v>7.3</v>
          </cell>
          <cell r="O530">
            <v>0.7</v>
          </cell>
          <cell r="P530">
            <v>2.5</v>
          </cell>
          <cell r="R530">
            <v>138</v>
          </cell>
          <cell r="S530">
            <v>0</v>
          </cell>
          <cell r="T530">
            <v>6.09</v>
          </cell>
          <cell r="U530">
            <v>2.87</v>
          </cell>
          <cell r="W530">
            <v>5.92</v>
          </cell>
          <cell r="X530">
            <v>236</v>
          </cell>
          <cell r="Y530">
            <v>0</v>
          </cell>
        </row>
        <row r="531">
          <cell r="B531" t="str">
            <v>Treber</v>
          </cell>
          <cell r="C531">
            <v>81390</v>
          </cell>
          <cell r="D531">
            <v>2014</v>
          </cell>
          <cell r="E531">
            <v>23.8</v>
          </cell>
          <cell r="F531">
            <v>225</v>
          </cell>
          <cell r="G531">
            <v>200</v>
          </cell>
          <cell r="H531">
            <v>92</v>
          </cell>
          <cell r="I531">
            <v>39</v>
          </cell>
          <cell r="J531">
            <v>289</v>
          </cell>
          <cell r="K531">
            <v>582</v>
          </cell>
          <cell r="L531">
            <v>6.4</v>
          </cell>
          <cell r="M531">
            <v>1.5</v>
          </cell>
          <cell r="N531">
            <v>3.8</v>
          </cell>
          <cell r="O531">
            <v>0.2</v>
          </cell>
          <cell r="P531">
            <v>1.2</v>
          </cell>
          <cell r="R531">
            <v>198</v>
          </cell>
          <cell r="S531">
            <v>0</v>
          </cell>
          <cell r="T531">
            <v>6.79</v>
          </cell>
          <cell r="W531">
            <v>4.32</v>
          </cell>
          <cell r="X531">
            <v>62</v>
          </cell>
          <cell r="Y531">
            <v>0</v>
          </cell>
        </row>
        <row r="532">
          <cell r="B532" t="str">
            <v>WGB 42/42/8/6,5/1,0/0,5</v>
          </cell>
          <cell r="C532">
            <v>81391</v>
          </cell>
          <cell r="D532">
            <v>2014</v>
          </cell>
          <cell r="E532">
            <v>90.5</v>
          </cell>
          <cell r="F532">
            <v>129</v>
          </cell>
          <cell r="G532">
            <v>105</v>
          </cell>
          <cell r="H532">
            <v>21</v>
          </cell>
          <cell r="I532">
            <v>86</v>
          </cell>
          <cell r="J532">
            <v>109</v>
          </cell>
          <cell r="K532">
            <v>153</v>
          </cell>
          <cell r="L532">
            <v>8.3000000000000007</v>
          </cell>
          <cell r="M532">
            <v>7.2</v>
          </cell>
          <cell r="N532">
            <v>13.9</v>
          </cell>
          <cell r="O532">
            <v>4</v>
          </cell>
          <cell r="P532">
            <v>4.4000000000000004</v>
          </cell>
          <cell r="R532">
            <v>159</v>
          </cell>
          <cell r="S532">
            <v>0</v>
          </cell>
          <cell r="T532">
            <v>8.01</v>
          </cell>
          <cell r="W532">
            <v>-4.8</v>
          </cell>
          <cell r="X532">
            <v>611</v>
          </cell>
          <cell r="Y532">
            <v>0</v>
          </cell>
        </row>
        <row r="533">
          <cell r="B533" t="str">
            <v>RES</v>
          </cell>
          <cell r="C533">
            <v>81392</v>
          </cell>
          <cell r="D533">
            <v>2014</v>
          </cell>
          <cell r="E533">
            <v>88.6</v>
          </cell>
          <cell r="F533">
            <v>385</v>
          </cell>
          <cell r="G533">
            <v>140</v>
          </cell>
          <cell r="H533">
            <v>17</v>
          </cell>
          <cell r="I533">
            <v>76</v>
          </cell>
          <cell r="J533">
            <v>245</v>
          </cell>
          <cell r="K533">
            <v>333</v>
          </cell>
          <cell r="L533">
            <v>16.7</v>
          </cell>
          <cell r="M533">
            <v>14.9</v>
          </cell>
          <cell r="N533">
            <v>8</v>
          </cell>
          <cell r="O533">
            <v>0.6</v>
          </cell>
          <cell r="P533">
            <v>5.0999999999999996</v>
          </cell>
          <cell r="R533">
            <v>253</v>
          </cell>
          <cell r="S533">
            <v>0</v>
          </cell>
          <cell r="T533">
            <v>7.28</v>
          </cell>
          <cell r="W533">
            <v>21.12</v>
          </cell>
          <cell r="X533">
            <v>189</v>
          </cell>
          <cell r="Y533">
            <v>0</v>
          </cell>
        </row>
        <row r="534">
          <cell r="B534" t="str">
            <v>gRES</v>
          </cell>
          <cell r="C534">
            <v>81393</v>
          </cell>
          <cell r="D534">
            <v>2014</v>
          </cell>
          <cell r="E534">
            <v>89.7</v>
          </cell>
          <cell r="F534">
            <v>391</v>
          </cell>
          <cell r="G534">
            <v>151</v>
          </cell>
          <cell r="H534">
            <v>21</v>
          </cell>
          <cell r="I534">
            <v>81</v>
          </cell>
          <cell r="J534">
            <v>250</v>
          </cell>
          <cell r="K534">
            <v>354</v>
          </cell>
          <cell r="L534">
            <v>17.100000000000001</v>
          </cell>
          <cell r="M534">
            <v>15.3</v>
          </cell>
          <cell r="N534">
            <v>7.1</v>
          </cell>
          <cell r="O534">
            <v>0.8</v>
          </cell>
          <cell r="P534">
            <v>4.8</v>
          </cell>
          <cell r="R534">
            <v>335</v>
          </cell>
          <cell r="S534">
            <v>0</v>
          </cell>
          <cell r="T534">
            <v>7.26</v>
          </cell>
          <cell r="W534">
            <v>8.9600000000000009</v>
          </cell>
          <cell r="X534">
            <v>153</v>
          </cell>
          <cell r="Y534">
            <v>0</v>
          </cell>
        </row>
        <row r="535">
          <cell r="B535" t="str">
            <v>Stroh, Gerste</v>
          </cell>
          <cell r="C535">
            <v>81394</v>
          </cell>
          <cell r="D535">
            <v>2014</v>
          </cell>
          <cell r="E535">
            <v>92</v>
          </cell>
          <cell r="F535">
            <v>30</v>
          </cell>
          <cell r="G535">
            <v>448</v>
          </cell>
          <cell r="H535">
            <v>16</v>
          </cell>
          <cell r="I535">
            <v>41</v>
          </cell>
          <cell r="J535">
            <v>520</v>
          </cell>
          <cell r="K535">
            <v>822</v>
          </cell>
          <cell r="L535">
            <v>0.4</v>
          </cell>
          <cell r="M535">
            <v>11.1</v>
          </cell>
          <cell r="N535">
            <v>2.8</v>
          </cell>
          <cell r="O535">
            <v>0.2</v>
          </cell>
          <cell r="P535">
            <v>0.4</v>
          </cell>
          <cell r="R535">
            <v>75</v>
          </cell>
          <cell r="S535">
            <v>0</v>
          </cell>
          <cell r="T535">
            <v>3.85</v>
          </cell>
          <cell r="U535">
            <v>4.3</v>
          </cell>
          <cell r="W535">
            <v>-7.2</v>
          </cell>
          <cell r="X535">
            <v>91</v>
          </cell>
          <cell r="Y535">
            <v>0</v>
          </cell>
        </row>
        <row r="536">
          <cell r="B536" t="str">
            <v>Heu, 2. S.</v>
          </cell>
          <cell r="C536">
            <v>81395</v>
          </cell>
          <cell r="D536">
            <v>2013</v>
          </cell>
          <cell r="E536">
            <v>88.2</v>
          </cell>
          <cell r="F536">
            <v>180</v>
          </cell>
          <cell r="G536">
            <v>297</v>
          </cell>
          <cell r="H536">
            <v>24</v>
          </cell>
          <cell r="I536">
            <v>85</v>
          </cell>
          <cell r="J536">
            <v>330</v>
          </cell>
          <cell r="K536">
            <v>492</v>
          </cell>
          <cell r="L536">
            <v>5.3</v>
          </cell>
          <cell r="M536">
            <v>23.2</v>
          </cell>
          <cell r="N536">
            <v>5.2</v>
          </cell>
          <cell r="O536">
            <v>2.8</v>
          </cell>
          <cell r="P536">
            <v>2.2999999999999998</v>
          </cell>
          <cell r="R536">
            <v>152</v>
          </cell>
          <cell r="S536">
            <v>0</v>
          </cell>
          <cell r="T536">
            <v>6.16</v>
          </cell>
          <cell r="U536">
            <v>3.1</v>
          </cell>
          <cell r="W536">
            <v>4.4800000000000004</v>
          </cell>
          <cell r="X536">
            <v>219</v>
          </cell>
          <cell r="Y536">
            <v>0</v>
          </cell>
        </row>
        <row r="537">
          <cell r="B537" t="str">
            <v>RES</v>
          </cell>
          <cell r="C537">
            <v>81396</v>
          </cell>
          <cell r="D537">
            <v>2014</v>
          </cell>
          <cell r="E537">
            <v>88.4</v>
          </cell>
          <cell r="F537">
            <v>384</v>
          </cell>
          <cell r="G537">
            <v>149</v>
          </cell>
          <cell r="H537">
            <v>17</v>
          </cell>
          <cell r="I537">
            <v>79</v>
          </cell>
          <cell r="J537">
            <v>242</v>
          </cell>
          <cell r="K537">
            <v>317</v>
          </cell>
          <cell r="L537">
            <v>16.5</v>
          </cell>
          <cell r="M537">
            <v>15.4</v>
          </cell>
          <cell r="N537">
            <v>6.9</v>
          </cell>
          <cell r="O537">
            <v>0.6</v>
          </cell>
          <cell r="P537">
            <v>5</v>
          </cell>
          <cell r="R537">
            <v>252</v>
          </cell>
          <cell r="S537">
            <v>0</v>
          </cell>
          <cell r="T537">
            <v>7.25</v>
          </cell>
          <cell r="W537">
            <v>21.12</v>
          </cell>
          <cell r="X537">
            <v>203</v>
          </cell>
          <cell r="Y537">
            <v>0</v>
          </cell>
        </row>
        <row r="538">
          <cell r="B538" t="str">
            <v>Silo 07</v>
          </cell>
          <cell r="C538">
            <v>81401</v>
          </cell>
          <cell r="D538" t="str">
            <v>2013</v>
          </cell>
          <cell r="E538">
            <v>34.4</v>
          </cell>
          <cell r="F538">
            <v>76</v>
          </cell>
          <cell r="G538">
            <v>186</v>
          </cell>
          <cell r="H538">
            <v>39</v>
          </cell>
          <cell r="I538">
            <v>41</v>
          </cell>
          <cell r="J538">
            <v>188</v>
          </cell>
          <cell r="K538">
            <v>345</v>
          </cell>
          <cell r="L538">
            <v>2.7</v>
          </cell>
          <cell r="M538">
            <v>10.4</v>
          </cell>
          <cell r="N538">
            <v>2.5</v>
          </cell>
          <cell r="O538">
            <v>0.2</v>
          </cell>
          <cell r="P538">
            <v>1.2</v>
          </cell>
          <cell r="Q538">
            <v>0.25</v>
          </cell>
          <cell r="R538">
            <v>142</v>
          </cell>
          <cell r="S538">
            <v>11.93</v>
          </cell>
          <cell r="T538">
            <v>7.36</v>
          </cell>
          <cell r="U538">
            <v>1.5</v>
          </cell>
          <cell r="W538">
            <v>-10.56</v>
          </cell>
          <cell r="X538">
            <v>499</v>
          </cell>
          <cell r="Y538">
            <v>0</v>
          </cell>
        </row>
        <row r="539">
          <cell r="B539" t="str">
            <v>Silo 02</v>
          </cell>
          <cell r="C539">
            <v>81402</v>
          </cell>
          <cell r="D539">
            <v>2014</v>
          </cell>
          <cell r="E539">
            <v>24.6</v>
          </cell>
          <cell r="F539">
            <v>151</v>
          </cell>
          <cell r="G539">
            <v>276</v>
          </cell>
          <cell r="H539">
            <v>37</v>
          </cell>
          <cell r="I539">
            <v>97</v>
          </cell>
          <cell r="J539">
            <v>309</v>
          </cell>
          <cell r="K539">
            <v>470</v>
          </cell>
          <cell r="L539">
            <v>5</v>
          </cell>
          <cell r="M539">
            <v>26.9</v>
          </cell>
          <cell r="N539">
            <v>4.7</v>
          </cell>
          <cell r="O539">
            <v>1.7</v>
          </cell>
          <cell r="P539">
            <v>1.8</v>
          </cell>
          <cell r="Q539">
            <v>0.15</v>
          </cell>
          <cell r="R539">
            <v>136</v>
          </cell>
          <cell r="S539">
            <v>10.34</v>
          </cell>
          <cell r="T539">
            <v>6.19</v>
          </cell>
          <cell r="U539">
            <v>2.97</v>
          </cell>
          <cell r="W539">
            <v>2.4</v>
          </cell>
          <cell r="X539">
            <v>245</v>
          </cell>
          <cell r="Y539">
            <v>0</v>
          </cell>
        </row>
        <row r="540">
          <cell r="B540" t="str">
            <v>Treber</v>
          </cell>
          <cell r="C540">
            <v>81403</v>
          </cell>
          <cell r="D540">
            <v>2014</v>
          </cell>
          <cell r="E540">
            <v>24</v>
          </cell>
          <cell r="F540">
            <v>237</v>
          </cell>
          <cell r="G540">
            <v>256</v>
          </cell>
          <cell r="H540">
            <v>92</v>
          </cell>
          <cell r="I540">
            <v>44</v>
          </cell>
          <cell r="J540">
            <v>288</v>
          </cell>
          <cell r="K540">
            <v>570</v>
          </cell>
          <cell r="L540">
            <v>8</v>
          </cell>
          <cell r="M540">
            <v>2.2000000000000002</v>
          </cell>
          <cell r="N540">
            <v>3.9</v>
          </cell>
          <cell r="O540">
            <v>0.9</v>
          </cell>
          <cell r="P540">
            <v>1.8</v>
          </cell>
          <cell r="R540">
            <v>202</v>
          </cell>
          <cell r="S540">
            <v>0</v>
          </cell>
          <cell r="T540">
            <v>6.74</v>
          </cell>
          <cell r="W540">
            <v>5.6</v>
          </cell>
          <cell r="X540">
            <v>57</v>
          </cell>
          <cell r="Y540">
            <v>0</v>
          </cell>
        </row>
        <row r="541">
          <cell r="B541" t="str">
            <v>WGB 42/42/8/6,5/1,0/0,5</v>
          </cell>
          <cell r="C541">
            <v>81404</v>
          </cell>
          <cell r="D541">
            <v>2014</v>
          </cell>
          <cell r="E541">
            <v>90.5</v>
          </cell>
          <cell r="F541">
            <v>141</v>
          </cell>
          <cell r="G541">
            <v>102</v>
          </cell>
          <cell r="H541">
            <v>19</v>
          </cell>
          <cell r="I541">
            <v>89</v>
          </cell>
          <cell r="J541">
            <v>105</v>
          </cell>
          <cell r="K541">
            <v>151</v>
          </cell>
          <cell r="L541">
            <v>8.8000000000000007</v>
          </cell>
          <cell r="M541">
            <v>8</v>
          </cell>
          <cell r="N541">
            <v>14.1</v>
          </cell>
          <cell r="O541">
            <v>4.4000000000000004</v>
          </cell>
          <cell r="P541">
            <v>5.0999999999999996</v>
          </cell>
          <cell r="R541">
            <v>160</v>
          </cell>
          <cell r="S541">
            <v>0</v>
          </cell>
          <cell r="T541">
            <v>7.91</v>
          </cell>
          <cell r="W541">
            <v>-3.04</v>
          </cell>
          <cell r="X541">
            <v>600</v>
          </cell>
          <cell r="Y541">
            <v>0</v>
          </cell>
        </row>
        <row r="542">
          <cell r="B542" t="str">
            <v>RES</v>
          </cell>
          <cell r="C542">
            <v>81405</v>
          </cell>
          <cell r="D542">
            <v>2014</v>
          </cell>
          <cell r="E542">
            <v>89</v>
          </cell>
          <cell r="F542">
            <v>373</v>
          </cell>
          <cell r="G542">
            <v>148</v>
          </cell>
          <cell r="H542">
            <v>21</v>
          </cell>
          <cell r="I542">
            <v>80</v>
          </cell>
          <cell r="J542">
            <v>243</v>
          </cell>
          <cell r="K542">
            <v>329</v>
          </cell>
          <cell r="L542">
            <v>16.100000000000001</v>
          </cell>
          <cell r="M542">
            <v>14.8</v>
          </cell>
          <cell r="N542">
            <v>8</v>
          </cell>
          <cell r="O542">
            <v>0.9</v>
          </cell>
          <cell r="P542">
            <v>4.9000000000000004</v>
          </cell>
          <cell r="R542">
            <v>248</v>
          </cell>
          <cell r="S542">
            <v>0</v>
          </cell>
          <cell r="T542">
            <v>7.26</v>
          </cell>
          <cell r="W542">
            <v>20</v>
          </cell>
          <cell r="X542">
            <v>197</v>
          </cell>
          <cell r="Y542">
            <v>0</v>
          </cell>
        </row>
        <row r="543">
          <cell r="B543" t="str">
            <v>gRES</v>
          </cell>
          <cell r="C543">
            <v>81406</v>
          </cell>
          <cell r="D543">
            <v>2014</v>
          </cell>
          <cell r="E543">
            <v>89.8</v>
          </cell>
          <cell r="F543">
            <v>390</v>
          </cell>
          <cell r="G543">
            <v>157</v>
          </cell>
          <cell r="H543">
            <v>19</v>
          </cell>
          <cell r="I543">
            <v>82</v>
          </cell>
          <cell r="J543">
            <v>248</v>
          </cell>
          <cell r="K543">
            <v>360</v>
          </cell>
          <cell r="L543">
            <v>16.600000000000001</v>
          </cell>
          <cell r="M543">
            <v>15.7</v>
          </cell>
          <cell r="N543">
            <v>7.1</v>
          </cell>
          <cell r="O543">
            <v>0.8</v>
          </cell>
          <cell r="P543">
            <v>4.7</v>
          </cell>
          <cell r="R543">
            <v>334</v>
          </cell>
          <cell r="S543">
            <v>0</v>
          </cell>
          <cell r="T543">
            <v>7.24</v>
          </cell>
          <cell r="W543">
            <v>8.9600000000000009</v>
          </cell>
          <cell r="X543">
            <v>149</v>
          </cell>
          <cell r="Y543">
            <v>0</v>
          </cell>
        </row>
        <row r="544">
          <cell r="B544" t="str">
            <v>Stroh, Gerste</v>
          </cell>
          <cell r="C544">
            <v>81407</v>
          </cell>
          <cell r="D544">
            <v>2014</v>
          </cell>
          <cell r="E544">
            <v>92.1</v>
          </cell>
          <cell r="F544">
            <v>26</v>
          </cell>
          <cell r="G544">
            <v>457</v>
          </cell>
          <cell r="H544">
            <v>15</v>
          </cell>
          <cell r="I544">
            <v>39</v>
          </cell>
          <cell r="J544">
            <v>514</v>
          </cell>
          <cell r="K544">
            <v>819</v>
          </cell>
          <cell r="L544">
            <v>0.3</v>
          </cell>
          <cell r="M544">
            <v>11.2</v>
          </cell>
          <cell r="N544">
            <v>2.7</v>
          </cell>
          <cell r="O544">
            <v>0.3</v>
          </cell>
          <cell r="P544">
            <v>0.4</v>
          </cell>
          <cell r="R544">
            <v>74</v>
          </cell>
          <cell r="S544">
            <v>0</v>
          </cell>
          <cell r="T544">
            <v>3.85</v>
          </cell>
          <cell r="U544">
            <v>4.3</v>
          </cell>
          <cell r="W544">
            <v>-7.68</v>
          </cell>
          <cell r="X544">
            <v>101</v>
          </cell>
          <cell r="Y544">
            <v>0</v>
          </cell>
        </row>
        <row r="545">
          <cell r="B545" t="str">
            <v>Heu, 2. S.</v>
          </cell>
          <cell r="C545">
            <v>81408</v>
          </cell>
          <cell r="D545">
            <v>2014</v>
          </cell>
          <cell r="E545">
            <v>87.4</v>
          </cell>
          <cell r="F545">
            <v>180</v>
          </cell>
          <cell r="G545">
            <v>280</v>
          </cell>
          <cell r="H545">
            <v>26</v>
          </cell>
          <cell r="I545">
            <v>77</v>
          </cell>
          <cell r="J545">
            <v>323</v>
          </cell>
          <cell r="K545">
            <v>494</v>
          </cell>
          <cell r="L545">
            <v>5</v>
          </cell>
          <cell r="M545">
            <v>17.8</v>
          </cell>
          <cell r="N545">
            <v>5.3</v>
          </cell>
          <cell r="O545">
            <v>2.7</v>
          </cell>
          <cell r="P545">
            <v>2.2999999999999998</v>
          </cell>
          <cell r="R545">
            <v>153</v>
          </cell>
          <cell r="S545">
            <v>0</v>
          </cell>
          <cell r="T545">
            <v>6.24</v>
          </cell>
          <cell r="U545">
            <v>3.11</v>
          </cell>
          <cell r="W545">
            <v>4.32</v>
          </cell>
          <cell r="X545">
            <v>223</v>
          </cell>
          <cell r="Y545">
            <v>0</v>
          </cell>
        </row>
        <row r="546">
          <cell r="B546" t="str">
            <v>Treber</v>
          </cell>
          <cell r="C546">
            <v>81415</v>
          </cell>
          <cell r="D546">
            <v>2014</v>
          </cell>
          <cell r="E546">
            <v>22.6</v>
          </cell>
          <cell r="F546">
            <v>280</v>
          </cell>
          <cell r="G546">
            <v>196</v>
          </cell>
          <cell r="H546">
            <v>86</v>
          </cell>
          <cell r="I546">
            <v>42</v>
          </cell>
          <cell r="J546">
            <v>304</v>
          </cell>
          <cell r="K546">
            <v>579</v>
          </cell>
          <cell r="L546">
            <v>9.5</v>
          </cell>
          <cell r="M546">
            <v>2.7</v>
          </cell>
          <cell r="N546">
            <v>5</v>
          </cell>
          <cell r="O546">
            <v>0.3</v>
          </cell>
          <cell r="P546">
            <v>2.4</v>
          </cell>
          <cell r="R546">
            <v>220</v>
          </cell>
          <cell r="S546">
            <v>0</v>
          </cell>
          <cell r="T546">
            <v>6.78</v>
          </cell>
          <cell r="W546">
            <v>9.6</v>
          </cell>
          <cell r="X546">
            <v>13</v>
          </cell>
          <cell r="Y546">
            <v>0</v>
          </cell>
        </row>
        <row r="547">
          <cell r="B547" t="str">
            <v>Gerste</v>
          </cell>
          <cell r="C547">
            <v>81416</v>
          </cell>
          <cell r="D547">
            <v>2014</v>
          </cell>
          <cell r="E547">
            <v>90.6</v>
          </cell>
          <cell r="F547">
            <v>114</v>
          </cell>
          <cell r="G547">
            <v>98</v>
          </cell>
          <cell r="H547">
            <v>24</v>
          </cell>
          <cell r="I547">
            <v>33</v>
          </cell>
          <cell r="J547">
            <v>87</v>
          </cell>
          <cell r="K547">
            <v>222</v>
          </cell>
          <cell r="L547">
            <v>4.4000000000000004</v>
          </cell>
          <cell r="M547">
            <v>6.3</v>
          </cell>
          <cell r="N547">
            <v>1.2</v>
          </cell>
          <cell r="O547">
            <v>0.1</v>
          </cell>
          <cell r="P547">
            <v>1</v>
          </cell>
          <cell r="Q547">
            <v>0.25</v>
          </cell>
          <cell r="R547">
            <v>158</v>
          </cell>
          <cell r="S547">
            <v>12.62</v>
          </cell>
          <cell r="T547">
            <v>7.92</v>
          </cell>
          <cell r="U547">
            <v>-0.1</v>
          </cell>
          <cell r="V547">
            <v>20</v>
          </cell>
          <cell r="W547">
            <v>-7.04</v>
          </cell>
          <cell r="X547">
            <v>607</v>
          </cell>
          <cell r="Y547">
            <v>0</v>
          </cell>
        </row>
        <row r="548">
          <cell r="B548" t="str">
            <v>Weizen</v>
          </cell>
          <cell r="C548">
            <v>81417</v>
          </cell>
          <cell r="D548">
            <v>2014</v>
          </cell>
          <cell r="E548">
            <v>87.8</v>
          </cell>
          <cell r="F548">
            <v>145</v>
          </cell>
          <cell r="G548">
            <v>37</v>
          </cell>
          <cell r="H548">
            <v>22</v>
          </cell>
          <cell r="I548">
            <v>19</v>
          </cell>
          <cell r="J548">
            <v>62</v>
          </cell>
          <cell r="K548">
            <v>147</v>
          </cell>
          <cell r="L548">
            <v>4.7</v>
          </cell>
          <cell r="M548">
            <v>5.6</v>
          </cell>
          <cell r="N548">
            <v>1</v>
          </cell>
          <cell r="O548">
            <v>0.1</v>
          </cell>
          <cell r="P548">
            <v>1.1000000000000001</v>
          </cell>
          <cell r="Q548">
            <v>0.2</v>
          </cell>
          <cell r="R548">
            <v>172</v>
          </cell>
          <cell r="S548">
            <v>13.44</v>
          </cell>
          <cell r="T548">
            <v>8.5399999999999991</v>
          </cell>
          <cell r="U548">
            <v>-0.2</v>
          </cell>
          <cell r="V548">
            <v>35</v>
          </cell>
          <cell r="W548">
            <v>-4.32</v>
          </cell>
          <cell r="X548">
            <v>667</v>
          </cell>
          <cell r="Y548">
            <v>0</v>
          </cell>
        </row>
        <row r="549">
          <cell r="B549" t="str">
            <v>Ackerbohnen</v>
          </cell>
          <cell r="C549">
            <v>81418</v>
          </cell>
          <cell r="D549">
            <v>2014</v>
          </cell>
          <cell r="E549">
            <v>89</v>
          </cell>
          <cell r="F549">
            <v>262</v>
          </cell>
          <cell r="G549">
            <v>107</v>
          </cell>
          <cell r="H549">
            <v>17</v>
          </cell>
          <cell r="I549">
            <v>37</v>
          </cell>
          <cell r="J549">
            <v>149</v>
          </cell>
          <cell r="K549">
            <v>229</v>
          </cell>
          <cell r="L549">
            <v>7.9</v>
          </cell>
          <cell r="M549">
            <v>12.8</v>
          </cell>
          <cell r="N549">
            <v>1.9</v>
          </cell>
          <cell r="O549">
            <v>0.2</v>
          </cell>
          <cell r="P549">
            <v>1.6</v>
          </cell>
          <cell r="Q549">
            <v>0.15</v>
          </cell>
          <cell r="R549">
            <v>189</v>
          </cell>
          <cell r="S549">
            <v>13.61</v>
          </cell>
          <cell r="T549">
            <v>8.6199999999999992</v>
          </cell>
          <cell r="U549">
            <v>0.2</v>
          </cell>
          <cell r="V549">
            <v>40</v>
          </cell>
          <cell r="W549">
            <v>11.68</v>
          </cell>
          <cell r="X549">
            <v>455</v>
          </cell>
          <cell r="Y549">
            <v>0</v>
          </cell>
        </row>
        <row r="550">
          <cell r="B550" t="str">
            <v>RES</v>
          </cell>
          <cell r="C550">
            <v>81419</v>
          </cell>
          <cell r="D550">
            <v>2014</v>
          </cell>
          <cell r="E550">
            <v>88.7</v>
          </cell>
          <cell r="F550">
            <v>370</v>
          </cell>
          <cell r="G550">
            <v>150</v>
          </cell>
          <cell r="H550">
            <v>32</v>
          </cell>
          <cell r="I550">
            <v>83</v>
          </cell>
          <cell r="J550">
            <v>238</v>
          </cell>
          <cell r="K550">
            <v>324</v>
          </cell>
          <cell r="L550">
            <v>15.8</v>
          </cell>
          <cell r="M550">
            <v>14.1</v>
          </cell>
          <cell r="N550">
            <v>6.7</v>
          </cell>
          <cell r="O550">
            <v>0.6</v>
          </cell>
          <cell r="P550">
            <v>4.8</v>
          </cell>
          <cell r="R550">
            <v>248</v>
          </cell>
          <cell r="S550">
            <v>0</v>
          </cell>
          <cell r="T550">
            <v>7.31</v>
          </cell>
          <cell r="W550">
            <v>19.52</v>
          </cell>
          <cell r="X550">
            <v>191</v>
          </cell>
          <cell r="Y550">
            <v>0</v>
          </cell>
        </row>
        <row r="551">
          <cell r="B551" t="str">
            <v>Treber</v>
          </cell>
          <cell r="C551">
            <v>81420</v>
          </cell>
          <cell r="D551" t="str">
            <v>2014</v>
          </cell>
          <cell r="E551">
            <v>18.899999999999999</v>
          </cell>
          <cell r="F551">
            <v>229</v>
          </cell>
          <cell r="G551">
            <v>205</v>
          </cell>
          <cell r="H551">
            <v>95</v>
          </cell>
          <cell r="I551">
            <v>42</v>
          </cell>
          <cell r="J551">
            <v>293</v>
          </cell>
          <cell r="K551">
            <v>590</v>
          </cell>
          <cell r="L551">
            <v>8.4</v>
          </cell>
          <cell r="M551">
            <v>1.8</v>
          </cell>
          <cell r="N551">
            <v>4.8</v>
          </cell>
          <cell r="O551">
            <v>0.3</v>
          </cell>
          <cell r="P551">
            <v>1.7</v>
          </cell>
          <cell r="Q551">
            <v>0.4</v>
          </cell>
          <cell r="R551">
            <v>200</v>
          </cell>
          <cell r="S551">
            <v>11.42</v>
          </cell>
          <cell r="T551">
            <v>6.79</v>
          </cell>
          <cell r="U551">
            <v>1.05</v>
          </cell>
          <cell r="W551">
            <v>4.6399999999999997</v>
          </cell>
          <cell r="X551">
            <v>44</v>
          </cell>
          <cell r="Y551">
            <v>0</v>
          </cell>
        </row>
        <row r="552">
          <cell r="B552" t="str">
            <v>Heu, 2. S.</v>
          </cell>
          <cell r="C552">
            <v>81421</v>
          </cell>
          <cell r="D552" t="str">
            <v>2013</v>
          </cell>
          <cell r="E552">
            <v>88.8</v>
          </cell>
          <cell r="F552">
            <v>191</v>
          </cell>
          <cell r="G552">
            <v>298</v>
          </cell>
          <cell r="H552">
            <v>35</v>
          </cell>
          <cell r="I552">
            <v>97</v>
          </cell>
          <cell r="J552">
            <v>289</v>
          </cell>
          <cell r="K552">
            <v>440</v>
          </cell>
          <cell r="L552">
            <v>5.6</v>
          </cell>
          <cell r="M552">
            <v>27.8</v>
          </cell>
          <cell r="N552">
            <v>5</v>
          </cell>
          <cell r="O552">
            <v>1.5</v>
          </cell>
          <cell r="P552">
            <v>2</v>
          </cell>
          <cell r="Q552">
            <v>0.25</v>
          </cell>
          <cell r="R552">
            <v>160</v>
          </cell>
          <cell r="S552">
            <v>10.81</v>
          </cell>
          <cell r="T552">
            <v>6.53</v>
          </cell>
          <cell r="U552">
            <v>2.79</v>
          </cell>
          <cell r="W552">
            <v>4.96</v>
          </cell>
          <cell r="X552">
            <v>237</v>
          </cell>
          <cell r="Y552">
            <v>0</v>
          </cell>
        </row>
        <row r="553">
          <cell r="B553" t="str">
            <v>Heu, 2. S.</v>
          </cell>
          <cell r="C553">
            <v>81422</v>
          </cell>
          <cell r="D553" t="str">
            <v>2013</v>
          </cell>
          <cell r="E553">
            <v>88.1</v>
          </cell>
          <cell r="F553">
            <v>175</v>
          </cell>
          <cell r="G553">
            <v>296</v>
          </cell>
          <cell r="H553">
            <v>31</v>
          </cell>
          <cell r="I553">
            <v>100</v>
          </cell>
          <cell r="J553">
            <v>300</v>
          </cell>
          <cell r="K553">
            <v>460</v>
          </cell>
          <cell r="L553">
            <v>4.8</v>
          </cell>
          <cell r="M553">
            <v>24.9</v>
          </cell>
          <cell r="N553">
            <v>5.8</v>
          </cell>
          <cell r="O553">
            <v>1.5</v>
          </cell>
          <cell r="P553">
            <v>2.4</v>
          </cell>
          <cell r="Q553">
            <v>0.25</v>
          </cell>
          <cell r="R553">
            <v>151</v>
          </cell>
          <cell r="S553">
            <v>10.33</v>
          </cell>
          <cell r="T553">
            <v>6.19</v>
          </cell>
          <cell r="U553">
            <v>2.91</v>
          </cell>
          <cell r="W553">
            <v>3.84</v>
          </cell>
          <cell r="X553">
            <v>234</v>
          </cell>
          <cell r="Y553">
            <v>0</v>
          </cell>
        </row>
        <row r="554">
          <cell r="B554" t="str">
            <v>KF Kalb "Julia Kehrle"</v>
          </cell>
          <cell r="C554">
            <v>81423</v>
          </cell>
          <cell r="D554" t="str">
            <v>2014</v>
          </cell>
          <cell r="E554">
            <v>89.6</v>
          </cell>
          <cell r="F554">
            <v>212</v>
          </cell>
          <cell r="G554">
            <v>107</v>
          </cell>
          <cell r="H554">
            <v>53</v>
          </cell>
          <cell r="I554">
            <v>92</v>
          </cell>
          <cell r="J554">
            <v>140</v>
          </cell>
          <cell r="K554">
            <v>199</v>
          </cell>
          <cell r="L554">
            <v>15.4</v>
          </cell>
          <cell r="M554">
            <v>9.3000000000000007</v>
          </cell>
          <cell r="N554">
            <v>11.7</v>
          </cell>
          <cell r="O554">
            <v>3.6</v>
          </cell>
          <cell r="P554">
            <v>4.5999999999999996</v>
          </cell>
          <cell r="Q554">
            <v>0.32</v>
          </cell>
          <cell r="R554">
            <v>192</v>
          </cell>
          <cell r="S554">
            <v>12.47</v>
          </cell>
          <cell r="T554">
            <v>7.77</v>
          </cell>
          <cell r="W554">
            <v>3.2</v>
          </cell>
          <cell r="X554">
            <v>444</v>
          </cell>
          <cell r="Y554">
            <v>0</v>
          </cell>
        </row>
        <row r="555">
          <cell r="B555" t="str">
            <v>KF Kalb "Julia Kehrle"</v>
          </cell>
          <cell r="C555">
            <v>81424</v>
          </cell>
          <cell r="D555" t="str">
            <v>2014</v>
          </cell>
          <cell r="E555">
            <v>89.4</v>
          </cell>
          <cell r="F555">
            <v>211</v>
          </cell>
          <cell r="G555">
            <v>107</v>
          </cell>
          <cell r="H555">
            <v>51</v>
          </cell>
          <cell r="I555">
            <v>84</v>
          </cell>
          <cell r="J555">
            <v>149</v>
          </cell>
          <cell r="K555">
            <v>203</v>
          </cell>
          <cell r="L555">
            <v>12.6</v>
          </cell>
          <cell r="M555">
            <v>9.3000000000000007</v>
          </cell>
          <cell r="N555">
            <v>9.6</v>
          </cell>
          <cell r="O555">
            <v>3.4</v>
          </cell>
          <cell r="P555">
            <v>4.3</v>
          </cell>
          <cell r="Q555">
            <v>0.32</v>
          </cell>
          <cell r="R555">
            <v>193</v>
          </cell>
          <cell r="S555">
            <v>12.6</v>
          </cell>
          <cell r="T555">
            <v>7.87</v>
          </cell>
          <cell r="W555">
            <v>2.88</v>
          </cell>
          <cell r="X555">
            <v>451</v>
          </cell>
          <cell r="Y555">
            <v>0</v>
          </cell>
        </row>
        <row r="556">
          <cell r="B556" t="str">
            <v>RB Gärheu</v>
          </cell>
          <cell r="C556">
            <v>81425</v>
          </cell>
          <cell r="D556">
            <v>2014</v>
          </cell>
          <cell r="E556">
            <v>72.3</v>
          </cell>
          <cell r="F556">
            <v>160</v>
          </cell>
          <cell r="G556">
            <v>347</v>
          </cell>
          <cell r="H556">
            <v>23</v>
          </cell>
          <cell r="I556">
            <v>90</v>
          </cell>
          <cell r="J556">
            <v>383</v>
          </cell>
          <cell r="K556">
            <v>518</v>
          </cell>
          <cell r="L556">
            <v>3.4</v>
          </cell>
          <cell r="M556">
            <v>19.5</v>
          </cell>
          <cell r="N556">
            <v>8.1999999999999993</v>
          </cell>
          <cell r="O556">
            <v>2.2000000000000002</v>
          </cell>
          <cell r="P556">
            <v>3.3</v>
          </cell>
          <cell r="R556">
            <v>130</v>
          </cell>
          <cell r="S556">
            <v>0</v>
          </cell>
          <cell r="T556">
            <v>5.01</v>
          </cell>
          <cell r="U556">
            <v>3.26</v>
          </cell>
          <cell r="W556">
            <v>4.8</v>
          </cell>
          <cell r="X556">
            <v>209</v>
          </cell>
          <cell r="Y556">
            <v>0</v>
          </cell>
        </row>
        <row r="557">
          <cell r="B557" t="str">
            <v>RB Gärheu</v>
          </cell>
          <cell r="C557">
            <v>81426</v>
          </cell>
          <cell r="D557">
            <v>2014</v>
          </cell>
          <cell r="E557">
            <v>62.1</v>
          </cell>
          <cell r="F557">
            <v>176</v>
          </cell>
          <cell r="G557">
            <v>332</v>
          </cell>
          <cell r="H557">
            <v>23</v>
          </cell>
          <cell r="I557">
            <v>84</v>
          </cell>
          <cell r="J557">
            <v>363</v>
          </cell>
          <cell r="K557">
            <v>485</v>
          </cell>
          <cell r="L557">
            <v>4.2</v>
          </cell>
          <cell r="M557">
            <v>14.6</v>
          </cell>
          <cell r="N557">
            <v>7.3</v>
          </cell>
          <cell r="O557">
            <v>3.9</v>
          </cell>
          <cell r="P557">
            <v>3.6</v>
          </cell>
          <cell r="R557">
            <v>141</v>
          </cell>
          <cell r="S557">
            <v>0</v>
          </cell>
          <cell r="T557">
            <v>5.51</v>
          </cell>
          <cell r="U557">
            <v>3.06</v>
          </cell>
          <cell r="W557">
            <v>5.6</v>
          </cell>
          <cell r="X557">
            <v>232</v>
          </cell>
          <cell r="Y557">
            <v>0</v>
          </cell>
        </row>
        <row r="558">
          <cell r="B558" t="str">
            <v>RB Gärheu</v>
          </cell>
          <cell r="C558">
            <v>81427</v>
          </cell>
          <cell r="D558">
            <v>2014</v>
          </cell>
          <cell r="E558">
            <v>76.7</v>
          </cell>
          <cell r="F558">
            <v>127</v>
          </cell>
          <cell r="G558">
            <v>317</v>
          </cell>
          <cell r="H558">
            <v>21</v>
          </cell>
          <cell r="I558">
            <v>101</v>
          </cell>
          <cell r="J558">
            <v>343</v>
          </cell>
          <cell r="K558">
            <v>510</v>
          </cell>
          <cell r="L558">
            <v>3.3</v>
          </cell>
          <cell r="M558">
            <v>16.600000000000001</v>
          </cell>
          <cell r="N558">
            <v>6</v>
          </cell>
          <cell r="O558">
            <v>0.8</v>
          </cell>
          <cell r="P558">
            <v>2.5</v>
          </cell>
          <cell r="R558">
            <v>126</v>
          </cell>
          <cell r="S558">
            <v>0</v>
          </cell>
          <cell r="T558">
            <v>5.34</v>
          </cell>
          <cell r="U558">
            <v>3.21</v>
          </cell>
          <cell r="W558">
            <v>0.16</v>
          </cell>
          <cell r="X558">
            <v>241</v>
          </cell>
          <cell r="Y558">
            <v>0</v>
          </cell>
        </row>
        <row r="559">
          <cell r="B559" t="str">
            <v>Silo 02</v>
          </cell>
          <cell r="C559">
            <v>81428</v>
          </cell>
          <cell r="D559">
            <v>2014</v>
          </cell>
          <cell r="E559">
            <v>31</v>
          </cell>
          <cell r="F559">
            <v>154</v>
          </cell>
          <cell r="G559">
            <v>278</v>
          </cell>
          <cell r="H559">
            <v>36</v>
          </cell>
          <cell r="I559">
            <v>108</v>
          </cell>
          <cell r="J559">
            <v>301</v>
          </cell>
          <cell r="K559">
            <v>448</v>
          </cell>
          <cell r="L559">
            <v>5.5</v>
          </cell>
          <cell r="M559">
            <v>31.4</v>
          </cell>
          <cell r="N559">
            <v>5.2</v>
          </cell>
          <cell r="O559">
            <v>0.8</v>
          </cell>
          <cell r="P559">
            <v>1.9</v>
          </cell>
          <cell r="Q559">
            <v>0.15</v>
          </cell>
          <cell r="R559">
            <v>134</v>
          </cell>
          <cell r="S559">
            <v>10.130000000000001</v>
          </cell>
          <cell r="T559">
            <v>6.05</v>
          </cell>
          <cell r="U559">
            <v>2.84</v>
          </cell>
          <cell r="W559">
            <v>3.2</v>
          </cell>
          <cell r="X559">
            <v>254</v>
          </cell>
          <cell r="Y559">
            <v>0</v>
          </cell>
        </row>
        <row r="560">
          <cell r="B560" t="str">
            <v>Silo 8</v>
          </cell>
          <cell r="C560">
            <v>81429</v>
          </cell>
          <cell r="D560">
            <v>2013</v>
          </cell>
          <cell r="E560">
            <v>35.4</v>
          </cell>
          <cell r="F560">
            <v>80</v>
          </cell>
          <cell r="G560">
            <v>182</v>
          </cell>
          <cell r="H560">
            <v>40</v>
          </cell>
          <cell r="I560">
            <v>42</v>
          </cell>
          <cell r="J560">
            <v>192</v>
          </cell>
          <cell r="K560">
            <v>335</v>
          </cell>
          <cell r="L560">
            <v>2.8</v>
          </cell>
          <cell r="M560">
            <v>9.9</v>
          </cell>
          <cell r="N560">
            <v>4.3</v>
          </cell>
          <cell r="O560">
            <v>0.2</v>
          </cell>
          <cell r="P560">
            <v>1.3</v>
          </cell>
          <cell r="R560">
            <v>142</v>
          </cell>
          <cell r="S560">
            <v>0</v>
          </cell>
          <cell r="T560">
            <v>7.33</v>
          </cell>
          <cell r="U560">
            <v>1.44</v>
          </cell>
          <cell r="W560">
            <v>-9.92</v>
          </cell>
          <cell r="X560">
            <v>503</v>
          </cell>
          <cell r="Y560">
            <v>0</v>
          </cell>
        </row>
        <row r="561">
          <cell r="B561" t="str">
            <v>Treber</v>
          </cell>
          <cell r="C561">
            <v>81430</v>
          </cell>
          <cell r="D561">
            <v>2014</v>
          </cell>
          <cell r="E561">
            <v>23.9</v>
          </cell>
          <cell r="F561">
            <v>226</v>
          </cell>
          <cell r="G561">
            <v>205</v>
          </cell>
          <cell r="H561">
            <v>88</v>
          </cell>
          <cell r="I561">
            <v>39</v>
          </cell>
          <cell r="J561">
            <v>296</v>
          </cell>
          <cell r="K561">
            <v>573</v>
          </cell>
          <cell r="L561">
            <v>7.5</v>
          </cell>
          <cell r="M561">
            <v>1.2</v>
          </cell>
          <cell r="N561">
            <v>4.5999999999999996</v>
          </cell>
          <cell r="O561">
            <v>0.1</v>
          </cell>
          <cell r="P561">
            <v>1.6</v>
          </cell>
          <cell r="R561">
            <v>197</v>
          </cell>
          <cell r="S561">
            <v>0</v>
          </cell>
          <cell r="T561">
            <v>6.74</v>
          </cell>
          <cell r="U561">
            <v>1.1000000000000001</v>
          </cell>
          <cell r="W561">
            <v>4.6399999999999997</v>
          </cell>
          <cell r="X561">
            <v>74</v>
          </cell>
          <cell r="Y561">
            <v>0</v>
          </cell>
        </row>
        <row r="562">
          <cell r="B562" t="str">
            <v>Silo 03</v>
          </cell>
          <cell r="C562">
            <v>81431</v>
          </cell>
          <cell r="D562">
            <v>2014</v>
          </cell>
          <cell r="E562">
            <v>41.8</v>
          </cell>
          <cell r="F562">
            <v>126</v>
          </cell>
          <cell r="G562">
            <v>292</v>
          </cell>
          <cell r="H562">
            <v>25</v>
          </cell>
          <cell r="I562">
            <v>92</v>
          </cell>
          <cell r="J562">
            <v>309</v>
          </cell>
          <cell r="K562">
            <v>458</v>
          </cell>
          <cell r="L562">
            <v>4.9000000000000004</v>
          </cell>
          <cell r="M562">
            <v>25.8</v>
          </cell>
          <cell r="N562">
            <v>5.9</v>
          </cell>
          <cell r="O562">
            <v>0.9</v>
          </cell>
          <cell r="P562">
            <v>1.8</v>
          </cell>
          <cell r="R562">
            <v>131</v>
          </cell>
          <cell r="S562">
            <v>0</v>
          </cell>
          <cell r="T562">
            <v>6.13</v>
          </cell>
          <cell r="U562">
            <v>2.9</v>
          </cell>
          <cell r="V562">
            <v>162</v>
          </cell>
          <cell r="W562">
            <v>-0.8</v>
          </cell>
          <cell r="X562">
            <v>299</v>
          </cell>
          <cell r="Y562">
            <v>0</v>
          </cell>
        </row>
        <row r="563">
          <cell r="B563" t="str">
            <v>Treber</v>
          </cell>
          <cell r="C563">
            <v>81432</v>
          </cell>
          <cell r="D563">
            <v>2014</v>
          </cell>
          <cell r="E563">
            <v>21</v>
          </cell>
          <cell r="F563">
            <v>244</v>
          </cell>
          <cell r="G563">
            <v>221</v>
          </cell>
          <cell r="H563">
            <v>94</v>
          </cell>
          <cell r="I563">
            <v>43</v>
          </cell>
          <cell r="J563">
            <v>318</v>
          </cell>
          <cell r="K563">
            <v>605</v>
          </cell>
          <cell r="L563">
            <v>8.5</v>
          </cell>
          <cell r="M563">
            <v>2.2000000000000002</v>
          </cell>
          <cell r="N563">
            <v>4.3</v>
          </cell>
          <cell r="O563">
            <v>0.2</v>
          </cell>
          <cell r="P563">
            <v>1.9</v>
          </cell>
          <cell r="R563">
            <v>206</v>
          </cell>
          <cell r="S563">
            <v>0</v>
          </cell>
          <cell r="T563">
            <v>6.79</v>
          </cell>
          <cell r="W563">
            <v>6.08</v>
          </cell>
          <cell r="X563">
            <v>14</v>
          </cell>
          <cell r="Y563">
            <v>0</v>
          </cell>
        </row>
        <row r="564">
          <cell r="B564" t="str">
            <v>Silo 01</v>
          </cell>
          <cell r="C564">
            <v>81433</v>
          </cell>
          <cell r="D564">
            <v>2014</v>
          </cell>
          <cell r="E564">
            <v>36.1</v>
          </cell>
          <cell r="F564">
            <v>153</v>
          </cell>
          <cell r="G564">
            <v>285</v>
          </cell>
          <cell r="H564">
            <v>37</v>
          </cell>
          <cell r="I564">
            <v>149</v>
          </cell>
          <cell r="J564">
            <v>297</v>
          </cell>
          <cell r="K564">
            <v>449</v>
          </cell>
          <cell r="L564">
            <v>5.9</v>
          </cell>
          <cell r="M564">
            <v>24.3</v>
          </cell>
          <cell r="N564">
            <v>6.7</v>
          </cell>
          <cell r="O564">
            <v>1.6</v>
          </cell>
          <cell r="P564">
            <v>2.4</v>
          </cell>
          <cell r="Q564">
            <v>0.15</v>
          </cell>
          <cell r="R564">
            <v>129</v>
          </cell>
          <cell r="S564">
            <v>9.6300000000000008</v>
          </cell>
          <cell r="T564">
            <v>5.75</v>
          </cell>
          <cell r="U564">
            <v>2.85</v>
          </cell>
          <cell r="W564">
            <v>3.84</v>
          </cell>
          <cell r="X564">
            <v>212</v>
          </cell>
          <cell r="Y564">
            <v>0</v>
          </cell>
        </row>
        <row r="565">
          <cell r="B565" t="str">
            <v>Silo 8</v>
          </cell>
          <cell r="C565">
            <v>81434</v>
          </cell>
          <cell r="D565">
            <v>2013</v>
          </cell>
          <cell r="E565">
            <v>35.299999999999997</v>
          </cell>
          <cell r="F565">
            <v>74</v>
          </cell>
          <cell r="G565">
            <v>185</v>
          </cell>
          <cell r="H565">
            <v>38</v>
          </cell>
          <cell r="I565">
            <v>44</v>
          </cell>
          <cell r="J565">
            <v>191</v>
          </cell>
          <cell r="K565">
            <v>338</v>
          </cell>
          <cell r="L565">
            <v>2.7</v>
          </cell>
          <cell r="M565">
            <v>9.4</v>
          </cell>
          <cell r="N565">
            <v>3.6</v>
          </cell>
          <cell r="O565">
            <v>0.2</v>
          </cell>
          <cell r="P565">
            <v>1.1000000000000001</v>
          </cell>
          <cell r="R565">
            <v>139</v>
          </cell>
          <cell r="S565">
            <v>0</v>
          </cell>
          <cell r="T565">
            <v>7.2</v>
          </cell>
          <cell r="U565">
            <v>1.46</v>
          </cell>
          <cell r="W565">
            <v>-10.4</v>
          </cell>
          <cell r="X565">
            <v>506</v>
          </cell>
          <cell r="Y565">
            <v>0</v>
          </cell>
        </row>
        <row r="566">
          <cell r="B566" t="str">
            <v>Treber</v>
          </cell>
          <cell r="C566">
            <v>81435</v>
          </cell>
          <cell r="D566">
            <v>2014</v>
          </cell>
          <cell r="E566">
            <v>23.6</v>
          </cell>
          <cell r="F566">
            <v>233</v>
          </cell>
          <cell r="G566">
            <v>210</v>
          </cell>
          <cell r="H566">
            <v>86</v>
          </cell>
          <cell r="I566">
            <v>40</v>
          </cell>
          <cell r="J566">
            <v>294</v>
          </cell>
          <cell r="K566">
            <v>571</v>
          </cell>
          <cell r="L566">
            <v>6.6</v>
          </cell>
          <cell r="M566">
            <v>1.2</v>
          </cell>
          <cell r="N566">
            <v>3.9</v>
          </cell>
          <cell r="O566">
            <v>0.1</v>
          </cell>
          <cell r="P566">
            <v>1.4</v>
          </cell>
          <cell r="R566">
            <v>200</v>
          </cell>
          <cell r="S566">
            <v>0</v>
          </cell>
          <cell r="T566">
            <v>6.73</v>
          </cell>
          <cell r="W566">
            <v>5.28</v>
          </cell>
          <cell r="X566">
            <v>70</v>
          </cell>
          <cell r="Y566">
            <v>0</v>
          </cell>
        </row>
        <row r="567">
          <cell r="B567" t="str">
            <v>Silo 11</v>
          </cell>
          <cell r="C567">
            <v>81437</v>
          </cell>
          <cell r="D567">
            <v>2014</v>
          </cell>
          <cell r="E567">
            <v>32.200000000000003</v>
          </cell>
          <cell r="F567">
            <v>71</v>
          </cell>
          <cell r="G567">
            <v>195</v>
          </cell>
          <cell r="H567">
            <v>25</v>
          </cell>
          <cell r="I567">
            <v>35</v>
          </cell>
          <cell r="J567">
            <v>212</v>
          </cell>
          <cell r="K567">
            <v>351</v>
          </cell>
          <cell r="L567">
            <v>2.6</v>
          </cell>
          <cell r="M567">
            <v>10.199999999999999</v>
          </cell>
          <cell r="N567">
            <v>2.1</v>
          </cell>
          <cell r="O567">
            <v>0.1</v>
          </cell>
          <cell r="P567">
            <v>0.9</v>
          </cell>
          <cell r="R567">
            <v>133</v>
          </cell>
          <cell r="S567">
            <v>0</v>
          </cell>
          <cell r="T567">
            <v>6.78</v>
          </cell>
          <cell r="U567">
            <v>1.54</v>
          </cell>
          <cell r="W567">
            <v>-9.92</v>
          </cell>
          <cell r="X567">
            <v>518</v>
          </cell>
          <cell r="Y567">
            <v>0</v>
          </cell>
        </row>
        <row r="568">
          <cell r="B568" t="str">
            <v>Silo 11</v>
          </cell>
          <cell r="C568">
            <v>81438</v>
          </cell>
          <cell r="D568">
            <v>2014</v>
          </cell>
          <cell r="E568">
            <v>34</v>
          </cell>
          <cell r="F568">
            <v>71</v>
          </cell>
          <cell r="G568">
            <v>185</v>
          </cell>
          <cell r="H568">
            <v>29</v>
          </cell>
          <cell r="I568">
            <v>37</v>
          </cell>
          <cell r="J568">
            <v>210</v>
          </cell>
          <cell r="K568">
            <v>354</v>
          </cell>
          <cell r="L568">
            <v>2.6</v>
          </cell>
          <cell r="M568">
            <v>10.5</v>
          </cell>
          <cell r="N568">
            <v>2</v>
          </cell>
          <cell r="O568">
            <v>0.1</v>
          </cell>
          <cell r="P568">
            <v>0.9</v>
          </cell>
          <cell r="R568">
            <v>135</v>
          </cell>
          <cell r="S568">
            <v>0</v>
          </cell>
          <cell r="T568">
            <v>6.92</v>
          </cell>
          <cell r="U568">
            <v>1.56</v>
          </cell>
          <cell r="W568">
            <v>-10.24</v>
          </cell>
          <cell r="X568">
            <v>509</v>
          </cell>
          <cell r="Y568">
            <v>0</v>
          </cell>
        </row>
        <row r="569">
          <cell r="B569" t="str">
            <v>Silo 11</v>
          </cell>
          <cell r="C569">
            <v>81439</v>
          </cell>
          <cell r="D569">
            <v>2014</v>
          </cell>
          <cell r="E569">
            <v>33.9</v>
          </cell>
          <cell r="F569">
            <v>78</v>
          </cell>
          <cell r="G569">
            <v>185</v>
          </cell>
          <cell r="H569">
            <v>30</v>
          </cell>
          <cell r="I569">
            <v>37</v>
          </cell>
          <cell r="J569">
            <v>202</v>
          </cell>
          <cell r="K569">
            <v>349</v>
          </cell>
          <cell r="L569">
            <v>3</v>
          </cell>
          <cell r="M569">
            <v>10.3</v>
          </cell>
          <cell r="N569">
            <v>2</v>
          </cell>
          <cell r="O569">
            <v>0.1</v>
          </cell>
          <cell r="P569">
            <v>0.9</v>
          </cell>
          <cell r="R569">
            <v>137</v>
          </cell>
          <cell r="S569">
            <v>0</v>
          </cell>
          <cell r="T569">
            <v>6.99</v>
          </cell>
          <cell r="U569">
            <v>1.52</v>
          </cell>
          <cell r="W569">
            <v>-9.44</v>
          </cell>
          <cell r="X569">
            <v>506</v>
          </cell>
          <cell r="Y569">
            <v>0</v>
          </cell>
        </row>
        <row r="570">
          <cell r="B570" t="str">
            <v>Silo 11</v>
          </cell>
          <cell r="C570">
            <v>81440</v>
          </cell>
          <cell r="D570">
            <v>2014</v>
          </cell>
          <cell r="E570">
            <v>33.9</v>
          </cell>
          <cell r="F570">
            <v>77</v>
          </cell>
          <cell r="G570">
            <v>193</v>
          </cell>
          <cell r="H570">
            <v>28</v>
          </cell>
          <cell r="I570">
            <v>35</v>
          </cell>
          <cell r="J570">
            <v>201</v>
          </cell>
          <cell r="K570">
            <v>342</v>
          </cell>
          <cell r="L570">
            <v>3</v>
          </cell>
          <cell r="M570">
            <v>10.4</v>
          </cell>
          <cell r="N570">
            <v>2.1</v>
          </cell>
          <cell r="O570">
            <v>0.1</v>
          </cell>
          <cell r="P570">
            <v>1</v>
          </cell>
          <cell r="R570">
            <v>138</v>
          </cell>
          <cell r="S570">
            <v>0</v>
          </cell>
          <cell r="T570">
            <v>7.02</v>
          </cell>
          <cell r="U570">
            <v>1.48</v>
          </cell>
          <cell r="W570">
            <v>-9.76</v>
          </cell>
          <cell r="X570">
            <v>518</v>
          </cell>
          <cell r="Y570">
            <v>0</v>
          </cell>
        </row>
        <row r="571">
          <cell r="B571" t="str">
            <v>Silo 12</v>
          </cell>
          <cell r="C571">
            <v>81441</v>
          </cell>
          <cell r="D571">
            <v>2014</v>
          </cell>
          <cell r="E571">
            <v>35.200000000000003</v>
          </cell>
          <cell r="F571">
            <v>73</v>
          </cell>
          <cell r="G571">
            <v>192</v>
          </cell>
          <cell r="H571">
            <v>32</v>
          </cell>
          <cell r="I571">
            <v>35</v>
          </cell>
          <cell r="J571">
            <v>210</v>
          </cell>
          <cell r="K571">
            <v>363</v>
          </cell>
          <cell r="L571">
            <v>2.8</v>
          </cell>
          <cell r="M571">
            <v>9.3000000000000007</v>
          </cell>
          <cell r="N571">
            <v>1.8</v>
          </cell>
          <cell r="O571">
            <v>0.1</v>
          </cell>
          <cell r="P571">
            <v>0.9</v>
          </cell>
          <cell r="R571">
            <v>134</v>
          </cell>
          <cell r="S571">
            <v>0</v>
          </cell>
          <cell r="T571">
            <v>6.8</v>
          </cell>
          <cell r="U571">
            <v>1.61</v>
          </cell>
          <cell r="W571">
            <v>-9.76</v>
          </cell>
          <cell r="X571">
            <v>497</v>
          </cell>
          <cell r="Y571">
            <v>0</v>
          </cell>
        </row>
        <row r="572">
          <cell r="B572" t="str">
            <v>Silo 12</v>
          </cell>
          <cell r="C572">
            <v>81442</v>
          </cell>
          <cell r="D572">
            <v>2014</v>
          </cell>
          <cell r="E572">
            <v>35.700000000000003</v>
          </cell>
          <cell r="F572">
            <v>75</v>
          </cell>
          <cell r="G572">
            <v>193</v>
          </cell>
          <cell r="H572">
            <v>31</v>
          </cell>
          <cell r="I572">
            <v>36</v>
          </cell>
          <cell r="J572">
            <v>209</v>
          </cell>
          <cell r="K572">
            <v>364</v>
          </cell>
          <cell r="L572">
            <v>2.9</v>
          </cell>
          <cell r="M572">
            <v>10.199999999999999</v>
          </cell>
          <cell r="N572">
            <v>1.9</v>
          </cell>
          <cell r="O572">
            <v>0.1</v>
          </cell>
          <cell r="P572">
            <v>0.9</v>
          </cell>
          <cell r="R572">
            <v>133</v>
          </cell>
          <cell r="S572">
            <v>0</v>
          </cell>
          <cell r="T572">
            <v>6.75</v>
          </cell>
          <cell r="U572">
            <v>1.61</v>
          </cell>
          <cell r="W572">
            <v>-9.2799999999999994</v>
          </cell>
          <cell r="X572">
            <v>494</v>
          </cell>
          <cell r="Y572">
            <v>0</v>
          </cell>
        </row>
        <row r="573">
          <cell r="B573" t="str">
            <v>Silo 05</v>
          </cell>
          <cell r="C573">
            <v>81443</v>
          </cell>
          <cell r="D573">
            <v>2014</v>
          </cell>
          <cell r="E573">
            <v>36.6</v>
          </cell>
          <cell r="F573">
            <v>75</v>
          </cell>
          <cell r="G573">
            <v>189</v>
          </cell>
          <cell r="H573">
            <v>28</v>
          </cell>
          <cell r="I573">
            <v>40</v>
          </cell>
          <cell r="J573">
            <v>215</v>
          </cell>
          <cell r="K573">
            <v>354</v>
          </cell>
          <cell r="L573">
            <v>2.8</v>
          </cell>
          <cell r="M573">
            <v>11.1</v>
          </cell>
          <cell r="N573">
            <v>2</v>
          </cell>
          <cell r="O573">
            <v>0.1</v>
          </cell>
          <cell r="P573">
            <v>1</v>
          </cell>
          <cell r="R573">
            <v>134</v>
          </cell>
          <cell r="S573">
            <v>0</v>
          </cell>
          <cell r="T573">
            <v>6.76</v>
          </cell>
          <cell r="U573">
            <v>1.55</v>
          </cell>
          <cell r="W573">
            <v>-9.44</v>
          </cell>
          <cell r="X573">
            <v>503</v>
          </cell>
          <cell r="Y573">
            <v>0</v>
          </cell>
        </row>
        <row r="574">
          <cell r="B574" t="str">
            <v>Silo 05</v>
          </cell>
          <cell r="C574">
            <v>81444</v>
          </cell>
          <cell r="D574">
            <v>2014</v>
          </cell>
          <cell r="E574">
            <v>36.299999999999997</v>
          </cell>
          <cell r="F574">
            <v>72</v>
          </cell>
          <cell r="G574">
            <v>189</v>
          </cell>
          <cell r="H574">
            <v>30</v>
          </cell>
          <cell r="I574">
            <v>37</v>
          </cell>
          <cell r="J574">
            <v>216</v>
          </cell>
          <cell r="K574">
            <v>355</v>
          </cell>
          <cell r="L574">
            <v>2.4</v>
          </cell>
          <cell r="M574">
            <v>10.8</v>
          </cell>
          <cell r="N574">
            <v>2</v>
          </cell>
          <cell r="O574">
            <v>0.1</v>
          </cell>
          <cell r="P574">
            <v>1</v>
          </cell>
          <cell r="R574">
            <v>134</v>
          </cell>
          <cell r="S574">
            <v>0</v>
          </cell>
          <cell r="T574">
            <v>6.82</v>
          </cell>
          <cell r="U574">
            <v>1.56</v>
          </cell>
          <cell r="W574">
            <v>-9.92</v>
          </cell>
          <cell r="X574">
            <v>506</v>
          </cell>
          <cell r="Y574">
            <v>0</v>
          </cell>
        </row>
        <row r="575">
          <cell r="B575" t="str">
            <v>Treber</v>
          </cell>
          <cell r="C575">
            <v>81445</v>
          </cell>
          <cell r="D575">
            <v>2014</v>
          </cell>
          <cell r="E575">
            <v>17.8</v>
          </cell>
          <cell r="F575">
            <v>228</v>
          </cell>
          <cell r="G575">
            <v>193</v>
          </cell>
          <cell r="H575">
            <v>35</v>
          </cell>
          <cell r="I575">
            <v>36</v>
          </cell>
          <cell r="J575">
            <v>288</v>
          </cell>
          <cell r="K575">
            <v>561</v>
          </cell>
          <cell r="L575">
            <v>6.1</v>
          </cell>
          <cell r="M575">
            <v>1.3</v>
          </cell>
          <cell r="N575">
            <v>3</v>
          </cell>
          <cell r="O575">
            <v>0.1</v>
          </cell>
          <cell r="P575">
            <v>1.1000000000000001</v>
          </cell>
          <cell r="R575">
            <v>192</v>
          </cell>
          <cell r="S575">
            <v>0</v>
          </cell>
          <cell r="T575">
            <v>6.28</v>
          </cell>
          <cell r="W575">
            <v>5.76</v>
          </cell>
          <cell r="X575">
            <v>140</v>
          </cell>
          <cell r="Y575">
            <v>0</v>
          </cell>
        </row>
        <row r="576">
          <cell r="B576" t="str">
            <v>Silo 07</v>
          </cell>
          <cell r="C576">
            <v>81446</v>
          </cell>
          <cell r="D576">
            <v>2014</v>
          </cell>
          <cell r="E576">
            <v>25.4</v>
          </cell>
          <cell r="F576">
            <v>179</v>
          </cell>
          <cell r="G576">
            <v>298</v>
          </cell>
          <cell r="H576">
            <v>28</v>
          </cell>
          <cell r="I576">
            <v>110</v>
          </cell>
          <cell r="J576">
            <v>307</v>
          </cell>
          <cell r="K576">
            <v>474</v>
          </cell>
          <cell r="L576">
            <v>6.8</v>
          </cell>
          <cell r="M576">
            <v>23.1</v>
          </cell>
          <cell r="N576">
            <v>6.3</v>
          </cell>
          <cell r="O576">
            <v>3.2</v>
          </cell>
          <cell r="P576">
            <v>2.6</v>
          </cell>
          <cell r="R576">
            <v>141</v>
          </cell>
          <cell r="S576">
            <v>0</v>
          </cell>
          <cell r="T576">
            <v>6.26</v>
          </cell>
          <cell r="U576">
            <v>2.89</v>
          </cell>
          <cell r="W576">
            <v>6.08</v>
          </cell>
          <cell r="X576">
            <v>209</v>
          </cell>
          <cell r="Y576">
            <v>0</v>
          </cell>
        </row>
        <row r="577">
          <cell r="B577" t="str">
            <v>Silo 03</v>
          </cell>
          <cell r="C577">
            <v>81447</v>
          </cell>
          <cell r="D577">
            <v>2014</v>
          </cell>
          <cell r="E577">
            <v>38.1</v>
          </cell>
          <cell r="F577">
            <v>124</v>
          </cell>
          <cell r="G577">
            <v>301</v>
          </cell>
          <cell r="H577">
            <v>26</v>
          </cell>
          <cell r="I577">
            <v>88</v>
          </cell>
          <cell r="J577">
            <v>309</v>
          </cell>
          <cell r="K577">
            <v>447</v>
          </cell>
          <cell r="L577">
            <v>5.2</v>
          </cell>
          <cell r="M577">
            <v>26.9</v>
          </cell>
          <cell r="N577">
            <v>4.4000000000000004</v>
          </cell>
          <cell r="O577">
            <v>1.5</v>
          </cell>
          <cell r="P577">
            <v>1.8</v>
          </cell>
          <cell r="R577">
            <v>130</v>
          </cell>
          <cell r="S577">
            <v>0</v>
          </cell>
          <cell r="T577">
            <v>6.07</v>
          </cell>
          <cell r="U577">
            <v>2.83</v>
          </cell>
          <cell r="W577">
            <v>-0.96</v>
          </cell>
          <cell r="X577">
            <v>315</v>
          </cell>
          <cell r="Y577">
            <v>0</v>
          </cell>
        </row>
        <row r="578">
          <cell r="B578" t="str">
            <v>Silo 04</v>
          </cell>
          <cell r="C578">
            <v>81448</v>
          </cell>
          <cell r="D578">
            <v>2014</v>
          </cell>
          <cell r="E578">
            <v>33.5</v>
          </cell>
          <cell r="F578">
            <v>155</v>
          </cell>
          <cell r="G578">
            <v>276</v>
          </cell>
          <cell r="H578">
            <v>35</v>
          </cell>
          <cell r="I578">
            <v>143</v>
          </cell>
          <cell r="J578">
            <v>288</v>
          </cell>
          <cell r="K578">
            <v>444</v>
          </cell>
          <cell r="L578">
            <v>6.2</v>
          </cell>
          <cell r="M578">
            <v>21.4</v>
          </cell>
          <cell r="N578">
            <v>8.5</v>
          </cell>
          <cell r="O578">
            <v>2.6</v>
          </cell>
          <cell r="P578">
            <v>3</v>
          </cell>
          <cell r="R578">
            <v>126</v>
          </cell>
          <cell r="S578">
            <v>0</v>
          </cell>
          <cell r="T578">
            <v>5.53</v>
          </cell>
          <cell r="U578">
            <v>2.81</v>
          </cell>
          <cell r="V578">
            <v>8</v>
          </cell>
          <cell r="W578">
            <v>4.6399999999999997</v>
          </cell>
          <cell r="X578">
            <v>223</v>
          </cell>
          <cell r="Y578">
            <v>0</v>
          </cell>
        </row>
        <row r="579">
          <cell r="B579" t="str">
            <v>Silo 03</v>
          </cell>
          <cell r="C579">
            <v>81449</v>
          </cell>
          <cell r="D579">
            <v>2014</v>
          </cell>
          <cell r="E579">
            <v>48</v>
          </cell>
          <cell r="F579">
            <v>148</v>
          </cell>
          <cell r="G579">
            <v>277</v>
          </cell>
          <cell r="H579">
            <v>35</v>
          </cell>
          <cell r="I579">
            <v>97</v>
          </cell>
          <cell r="J579">
            <v>296</v>
          </cell>
          <cell r="K579">
            <v>451</v>
          </cell>
          <cell r="L579">
            <v>5.8</v>
          </cell>
          <cell r="M579">
            <v>31.1</v>
          </cell>
          <cell r="N579">
            <v>5.5</v>
          </cell>
          <cell r="O579">
            <v>1.3</v>
          </cell>
          <cell r="P579">
            <v>2.1</v>
          </cell>
          <cell r="R579">
            <v>141</v>
          </cell>
          <cell r="S579">
            <v>0</v>
          </cell>
          <cell r="T579">
            <v>6.52</v>
          </cell>
          <cell r="U579">
            <v>2.85</v>
          </cell>
          <cell r="W579">
            <v>1.1200000000000001</v>
          </cell>
          <cell r="X579">
            <v>269</v>
          </cell>
          <cell r="Y579">
            <v>0</v>
          </cell>
        </row>
        <row r="580">
          <cell r="B580" t="str">
            <v>Silo 08</v>
          </cell>
          <cell r="C580">
            <v>81450</v>
          </cell>
          <cell r="D580" t="str">
            <v>2013</v>
          </cell>
          <cell r="E580">
            <v>33.4</v>
          </cell>
          <cell r="F580">
            <v>68</v>
          </cell>
          <cell r="G580">
            <v>178</v>
          </cell>
          <cell r="H580">
            <v>36</v>
          </cell>
          <cell r="I580">
            <v>40</v>
          </cell>
          <cell r="J580">
            <v>190</v>
          </cell>
          <cell r="K580">
            <v>342</v>
          </cell>
          <cell r="L580">
            <v>2.4</v>
          </cell>
          <cell r="M580">
            <v>11.1</v>
          </cell>
          <cell r="N580">
            <v>2.6</v>
          </cell>
          <cell r="O580">
            <v>0.2</v>
          </cell>
          <cell r="P580">
            <v>1</v>
          </cell>
          <cell r="R580">
            <v>137</v>
          </cell>
          <cell r="S580">
            <v>0</v>
          </cell>
          <cell r="T580">
            <v>7.18</v>
          </cell>
          <cell r="U580">
            <v>1.48</v>
          </cell>
          <cell r="W580">
            <v>-11.04</v>
          </cell>
          <cell r="X580">
            <v>514</v>
          </cell>
          <cell r="Y580">
            <v>0</v>
          </cell>
        </row>
        <row r="581">
          <cell r="B581" t="str">
            <v>RES</v>
          </cell>
          <cell r="C581">
            <v>81451</v>
          </cell>
          <cell r="D581">
            <v>2014</v>
          </cell>
          <cell r="E581">
            <v>91.4</v>
          </cell>
          <cell r="F581">
            <v>375</v>
          </cell>
          <cell r="G581">
            <v>137</v>
          </cell>
          <cell r="H581">
            <v>12</v>
          </cell>
          <cell r="I581">
            <v>74</v>
          </cell>
          <cell r="J581">
            <v>228</v>
          </cell>
          <cell r="K581">
            <v>291</v>
          </cell>
          <cell r="L581">
            <v>13.1</v>
          </cell>
          <cell r="M581">
            <v>15.1</v>
          </cell>
          <cell r="N581">
            <v>8</v>
          </cell>
          <cell r="O581">
            <v>0.3</v>
          </cell>
          <cell r="P581">
            <v>4.5</v>
          </cell>
          <cell r="R581">
            <v>248</v>
          </cell>
          <cell r="S581">
            <v>0</v>
          </cell>
          <cell r="T581">
            <v>7.2</v>
          </cell>
          <cell r="U581">
            <v>0.36</v>
          </cell>
          <cell r="W581">
            <v>20.32</v>
          </cell>
          <cell r="X581">
            <v>248</v>
          </cell>
          <cell r="Y581">
            <v>0</v>
          </cell>
        </row>
        <row r="582">
          <cell r="B582" t="str">
            <v>WGB 40/44/11/3/1,5/0,5</v>
          </cell>
          <cell r="C582">
            <v>81452</v>
          </cell>
          <cell r="D582">
            <v>2015</v>
          </cell>
          <cell r="E582">
            <v>90</v>
          </cell>
          <cell r="F582">
            <v>133</v>
          </cell>
          <cell r="G582">
            <v>45</v>
          </cell>
          <cell r="H582">
            <v>18</v>
          </cell>
          <cell r="I582">
            <v>101</v>
          </cell>
          <cell r="J582">
            <v>59</v>
          </cell>
          <cell r="K582">
            <v>139</v>
          </cell>
          <cell r="L582">
            <v>5.3</v>
          </cell>
          <cell r="M582">
            <v>8.3000000000000007</v>
          </cell>
          <cell r="N582">
            <v>18.100000000000001</v>
          </cell>
          <cell r="O582">
            <v>5.8</v>
          </cell>
          <cell r="P582">
            <v>4.4000000000000004</v>
          </cell>
          <cell r="R582">
            <v>146</v>
          </cell>
          <cell r="S582">
            <v>0</v>
          </cell>
          <cell r="T582">
            <v>6.93</v>
          </cell>
          <cell r="W582">
            <v>-2.08</v>
          </cell>
          <cell r="X582">
            <v>609</v>
          </cell>
          <cell r="Y582">
            <v>0</v>
          </cell>
        </row>
        <row r="583">
          <cell r="B583" t="str">
            <v>Stroh, Gerste</v>
          </cell>
          <cell r="C583">
            <v>81453</v>
          </cell>
          <cell r="D583">
            <v>2014</v>
          </cell>
          <cell r="E583">
            <v>93</v>
          </cell>
          <cell r="F583">
            <v>26</v>
          </cell>
          <cell r="G583">
            <v>465</v>
          </cell>
          <cell r="H583">
            <v>16</v>
          </cell>
          <cell r="I583">
            <v>51</v>
          </cell>
          <cell r="J583">
            <v>509</v>
          </cell>
          <cell r="K583">
            <v>783</v>
          </cell>
          <cell r="L583">
            <v>0.5</v>
          </cell>
          <cell r="M583">
            <v>12.1</v>
          </cell>
          <cell r="N583">
            <v>3.2</v>
          </cell>
          <cell r="O583">
            <v>0.3</v>
          </cell>
          <cell r="P583">
            <v>0.6</v>
          </cell>
          <cell r="R583">
            <v>73</v>
          </cell>
          <cell r="S583">
            <v>0</v>
          </cell>
          <cell r="T583">
            <v>3.8</v>
          </cell>
          <cell r="U583">
            <v>4.3</v>
          </cell>
          <cell r="W583">
            <v>-7.52</v>
          </cell>
          <cell r="X583">
            <v>124</v>
          </cell>
          <cell r="Y583">
            <v>0</v>
          </cell>
        </row>
        <row r="584">
          <cell r="B584" t="str">
            <v>Silo 03</v>
          </cell>
          <cell r="C584">
            <v>81458</v>
          </cell>
          <cell r="D584">
            <v>2014</v>
          </cell>
          <cell r="E584">
            <v>45.3</v>
          </cell>
          <cell r="F584">
            <v>152</v>
          </cell>
          <cell r="G584">
            <v>271</v>
          </cell>
          <cell r="H584">
            <v>33</v>
          </cell>
          <cell r="I584">
            <v>100</v>
          </cell>
          <cell r="J584">
            <v>294</v>
          </cell>
          <cell r="K584">
            <v>437</v>
          </cell>
          <cell r="L584">
            <v>6.2</v>
          </cell>
          <cell r="M584">
            <v>30.6</v>
          </cell>
          <cell r="N584">
            <v>5.6</v>
          </cell>
          <cell r="O584">
            <v>1.9</v>
          </cell>
          <cell r="P584">
            <v>2</v>
          </cell>
          <cell r="R584">
            <v>139</v>
          </cell>
          <cell r="S584">
            <v>0</v>
          </cell>
          <cell r="T584">
            <v>6.36</v>
          </cell>
          <cell r="U584">
            <v>2.77</v>
          </cell>
          <cell r="W584">
            <v>2.08</v>
          </cell>
          <cell r="X584">
            <v>278</v>
          </cell>
          <cell r="Y584">
            <v>0</v>
          </cell>
        </row>
        <row r="585">
          <cell r="B585" t="str">
            <v>Silo 08</v>
          </cell>
          <cell r="C585">
            <v>81459</v>
          </cell>
          <cell r="D585" t="str">
            <v>2013</v>
          </cell>
          <cell r="E585">
            <v>36.799999999999997</v>
          </cell>
          <cell r="F585">
            <v>64</v>
          </cell>
          <cell r="G585">
            <v>175</v>
          </cell>
          <cell r="H585">
            <v>35</v>
          </cell>
          <cell r="I585">
            <v>39</v>
          </cell>
          <cell r="J585">
            <v>186</v>
          </cell>
          <cell r="K585">
            <v>338</v>
          </cell>
          <cell r="L585">
            <v>2.2000000000000002</v>
          </cell>
          <cell r="M585">
            <v>10.4</v>
          </cell>
          <cell r="N585">
            <v>2.2999999999999998</v>
          </cell>
          <cell r="O585">
            <v>0.1</v>
          </cell>
          <cell r="P585">
            <v>1</v>
          </cell>
          <cell r="Q585">
            <v>0.25</v>
          </cell>
          <cell r="R585">
            <v>137</v>
          </cell>
          <cell r="S585">
            <v>11.82</v>
          </cell>
          <cell r="T585">
            <v>7.27</v>
          </cell>
          <cell r="U585">
            <v>1.46</v>
          </cell>
          <cell r="W585">
            <v>-11.68</v>
          </cell>
          <cell r="X585">
            <v>524</v>
          </cell>
          <cell r="Y585">
            <v>0</v>
          </cell>
        </row>
        <row r="586">
          <cell r="B586" t="str">
            <v>RES</v>
          </cell>
          <cell r="C586">
            <v>81460</v>
          </cell>
          <cell r="D586">
            <v>2014</v>
          </cell>
          <cell r="E586">
            <v>88.6</v>
          </cell>
          <cell r="F586">
            <v>374</v>
          </cell>
          <cell r="G586">
            <v>136</v>
          </cell>
          <cell r="H586">
            <v>17</v>
          </cell>
          <cell r="I586">
            <v>71</v>
          </cell>
          <cell r="J586">
            <v>238</v>
          </cell>
          <cell r="K586">
            <v>303</v>
          </cell>
          <cell r="L586">
            <v>14.7</v>
          </cell>
          <cell r="M586">
            <v>15.1</v>
          </cell>
          <cell r="N586">
            <v>6.9</v>
          </cell>
          <cell r="O586">
            <v>0.6</v>
          </cell>
          <cell r="P586">
            <v>4.7</v>
          </cell>
          <cell r="R586">
            <v>249</v>
          </cell>
          <cell r="S586">
            <v>0</v>
          </cell>
          <cell r="T586">
            <v>7.3</v>
          </cell>
          <cell r="W586">
            <v>20</v>
          </cell>
          <cell r="X586">
            <v>235</v>
          </cell>
          <cell r="Y586">
            <v>0</v>
          </cell>
        </row>
        <row r="587">
          <cell r="B587" t="str">
            <v>Silo 03</v>
          </cell>
          <cell r="C587">
            <v>81469</v>
          </cell>
          <cell r="D587">
            <v>2014</v>
          </cell>
          <cell r="E587">
            <v>44.4</v>
          </cell>
          <cell r="F587">
            <v>151</v>
          </cell>
          <cell r="G587">
            <v>275</v>
          </cell>
          <cell r="H587">
            <v>34</v>
          </cell>
          <cell r="I587">
            <v>104</v>
          </cell>
          <cell r="J587">
            <v>293</v>
          </cell>
          <cell r="K587">
            <v>433</v>
          </cell>
          <cell r="L587">
            <v>6.1</v>
          </cell>
          <cell r="M587">
            <v>29.8</v>
          </cell>
          <cell r="N587">
            <v>5.6</v>
          </cell>
          <cell r="O587">
            <v>1.4</v>
          </cell>
          <cell r="P587">
            <v>1.9</v>
          </cell>
          <cell r="Q587">
            <v>0.15</v>
          </cell>
          <cell r="R587">
            <v>139</v>
          </cell>
          <cell r="S587">
            <v>10.58</v>
          </cell>
          <cell r="T587">
            <v>6.37</v>
          </cell>
          <cell r="U587">
            <v>2.75</v>
          </cell>
          <cell r="W587">
            <v>1.92</v>
          </cell>
          <cell r="X587">
            <v>278</v>
          </cell>
          <cell r="Y587">
            <v>0</v>
          </cell>
        </row>
        <row r="588">
          <cell r="B588" t="str">
            <v>Silo 06</v>
          </cell>
          <cell r="C588">
            <v>81470</v>
          </cell>
          <cell r="D588" t="str">
            <v>2013</v>
          </cell>
          <cell r="E588">
            <v>36.6</v>
          </cell>
          <cell r="F588">
            <v>72</v>
          </cell>
          <cell r="G588">
            <v>174</v>
          </cell>
          <cell r="H588">
            <v>36</v>
          </cell>
          <cell r="I588">
            <v>33</v>
          </cell>
          <cell r="J588">
            <v>187</v>
          </cell>
          <cell r="K588">
            <v>339</v>
          </cell>
          <cell r="L588">
            <v>2.2000000000000002</v>
          </cell>
          <cell r="M588">
            <v>10.8</v>
          </cell>
          <cell r="N588">
            <v>2.1</v>
          </cell>
          <cell r="O588">
            <v>0.1</v>
          </cell>
          <cell r="P588">
            <v>0.9</v>
          </cell>
          <cell r="Q588">
            <v>0.25</v>
          </cell>
          <cell r="R588">
            <v>140</v>
          </cell>
          <cell r="S588">
            <v>0</v>
          </cell>
          <cell r="T588">
            <v>7.34</v>
          </cell>
          <cell r="U588">
            <v>1.46</v>
          </cell>
          <cell r="W588">
            <v>-10.88</v>
          </cell>
          <cell r="X588">
            <v>520</v>
          </cell>
          <cell r="Y588">
            <v>0</v>
          </cell>
        </row>
        <row r="589">
          <cell r="B589" t="str">
            <v>RES</v>
          </cell>
          <cell r="C589">
            <v>81471</v>
          </cell>
          <cell r="D589">
            <v>2014</v>
          </cell>
          <cell r="E589">
            <v>88.3</v>
          </cell>
          <cell r="F589">
            <v>374</v>
          </cell>
          <cell r="G589">
            <v>139</v>
          </cell>
          <cell r="H589">
            <v>20</v>
          </cell>
          <cell r="I589">
            <v>75</v>
          </cell>
          <cell r="J589">
            <v>240</v>
          </cell>
          <cell r="K589">
            <v>296</v>
          </cell>
          <cell r="L589">
            <v>15.2</v>
          </cell>
          <cell r="M589">
            <v>15.2</v>
          </cell>
          <cell r="N589">
            <v>7</v>
          </cell>
          <cell r="O589">
            <v>0.6</v>
          </cell>
          <cell r="P589">
            <v>4.5999999999999996</v>
          </cell>
          <cell r="R589">
            <v>249</v>
          </cell>
          <cell r="S589">
            <v>0</v>
          </cell>
          <cell r="T589">
            <v>7.29</v>
          </cell>
          <cell r="W589">
            <v>20</v>
          </cell>
          <cell r="X589">
            <v>235</v>
          </cell>
          <cell r="Y589">
            <v>0</v>
          </cell>
        </row>
        <row r="590">
          <cell r="B590" t="str">
            <v>WGB 40/44/11/3/1,5/0,5</v>
          </cell>
          <cell r="C590">
            <v>81472</v>
          </cell>
          <cell r="D590">
            <v>2015</v>
          </cell>
          <cell r="E590">
            <v>89.4</v>
          </cell>
          <cell r="F590">
            <v>138</v>
          </cell>
          <cell r="G590">
            <v>37</v>
          </cell>
          <cell r="H590">
            <v>20</v>
          </cell>
          <cell r="I590">
            <v>95</v>
          </cell>
          <cell r="J590">
            <v>55</v>
          </cell>
          <cell r="K590">
            <v>135</v>
          </cell>
          <cell r="L590">
            <v>5.0999999999999996</v>
          </cell>
          <cell r="M590">
            <v>7.9</v>
          </cell>
          <cell r="N590">
            <v>17.100000000000001</v>
          </cell>
          <cell r="O590">
            <v>5.5</v>
          </cell>
          <cell r="P590">
            <v>3.6</v>
          </cell>
          <cell r="Q590">
            <v>0.21</v>
          </cell>
          <cell r="R590">
            <v>160</v>
          </cell>
          <cell r="S590">
            <v>12.43</v>
          </cell>
          <cell r="T590">
            <v>7.9</v>
          </cell>
          <cell r="W590">
            <v>-3.52</v>
          </cell>
          <cell r="X590">
            <v>612</v>
          </cell>
          <cell r="Y590">
            <v>0</v>
          </cell>
        </row>
        <row r="591">
          <cell r="B591" t="str">
            <v>WGB 40/43/11/4/1,5/0,5</v>
          </cell>
          <cell r="C591">
            <v>81472</v>
          </cell>
          <cell r="D591" t="str">
            <v>2015</v>
          </cell>
          <cell r="E591">
            <v>89.4</v>
          </cell>
          <cell r="F591">
            <v>138</v>
          </cell>
          <cell r="G591">
            <v>37</v>
          </cell>
          <cell r="H591">
            <v>20</v>
          </cell>
          <cell r="I591">
            <v>95</v>
          </cell>
          <cell r="J591">
            <v>55</v>
          </cell>
          <cell r="K591">
            <v>135</v>
          </cell>
          <cell r="L591">
            <v>5.0999999999999996</v>
          </cell>
          <cell r="M591">
            <v>7.9</v>
          </cell>
          <cell r="N591">
            <v>17.100000000000001</v>
          </cell>
          <cell r="O591">
            <v>5.5</v>
          </cell>
          <cell r="P591">
            <v>3.6</v>
          </cell>
          <cell r="Q591">
            <v>0.21</v>
          </cell>
          <cell r="R591">
            <v>160</v>
          </cell>
          <cell r="S591">
            <v>12.43</v>
          </cell>
          <cell r="T591">
            <v>7.9</v>
          </cell>
          <cell r="W591">
            <v>-3.52</v>
          </cell>
          <cell r="X591">
            <v>612</v>
          </cell>
          <cell r="Y591">
            <v>0</v>
          </cell>
        </row>
        <row r="592">
          <cell r="B592" t="str">
            <v>Stroh, Gerste</v>
          </cell>
          <cell r="C592">
            <v>81473</v>
          </cell>
          <cell r="D592">
            <v>2014</v>
          </cell>
          <cell r="E592">
            <v>93</v>
          </cell>
          <cell r="F592">
            <v>28</v>
          </cell>
          <cell r="G592">
            <v>467</v>
          </cell>
          <cell r="H592">
            <v>16</v>
          </cell>
          <cell r="I592">
            <v>48</v>
          </cell>
          <cell r="J592">
            <v>511</v>
          </cell>
          <cell r="K592">
            <v>794</v>
          </cell>
          <cell r="L592">
            <v>0.8</v>
          </cell>
          <cell r="M592">
            <v>11.9</v>
          </cell>
          <cell r="N592">
            <v>3</v>
          </cell>
          <cell r="O592">
            <v>0.2</v>
          </cell>
          <cell r="P592">
            <v>0.4</v>
          </cell>
          <cell r="R592">
            <v>74</v>
          </cell>
          <cell r="S592">
            <v>6.89</v>
          </cell>
          <cell r="T592">
            <v>3.81</v>
          </cell>
          <cell r="U592">
            <v>4.3</v>
          </cell>
          <cell r="W592">
            <v>-7.36</v>
          </cell>
          <cell r="X592">
            <v>114</v>
          </cell>
          <cell r="Y592">
            <v>0</v>
          </cell>
        </row>
        <row r="593">
          <cell r="B593" t="str">
            <v>Heu, 2. S.</v>
          </cell>
          <cell r="C593">
            <v>81474</v>
          </cell>
          <cell r="D593">
            <v>2014</v>
          </cell>
          <cell r="E593">
            <v>89.9</v>
          </cell>
          <cell r="F593">
            <v>114</v>
          </cell>
          <cell r="G593">
            <v>268</v>
          </cell>
          <cell r="H593">
            <v>27</v>
          </cell>
          <cell r="I593">
            <v>72</v>
          </cell>
          <cell r="J593">
            <v>286</v>
          </cell>
          <cell r="K593">
            <v>482</v>
          </cell>
          <cell r="L593">
            <v>4.8</v>
          </cell>
          <cell r="M593">
            <v>19.2</v>
          </cell>
          <cell r="N593">
            <v>4.9000000000000004</v>
          </cell>
          <cell r="O593">
            <v>2.9</v>
          </cell>
          <cell r="P593">
            <v>1.9</v>
          </cell>
          <cell r="R593">
            <v>136</v>
          </cell>
          <cell r="S593">
            <v>0</v>
          </cell>
          <cell r="T593">
            <v>6.24</v>
          </cell>
          <cell r="U593">
            <v>3.04</v>
          </cell>
          <cell r="W593">
            <v>-3.52</v>
          </cell>
          <cell r="X593">
            <v>305</v>
          </cell>
          <cell r="Y593">
            <v>0</v>
          </cell>
        </row>
        <row r="594">
          <cell r="B594" t="str">
            <v>RES</v>
          </cell>
          <cell r="C594">
            <v>81479</v>
          </cell>
          <cell r="D594">
            <v>2014</v>
          </cell>
          <cell r="E594">
            <v>88.4</v>
          </cell>
          <cell r="F594">
            <v>372</v>
          </cell>
          <cell r="G594">
            <v>140</v>
          </cell>
          <cell r="H594">
            <v>20</v>
          </cell>
          <cell r="I594">
            <v>72</v>
          </cell>
          <cell r="J594">
            <v>237</v>
          </cell>
          <cell r="K594">
            <v>293</v>
          </cell>
          <cell r="L594">
            <v>15.3</v>
          </cell>
          <cell r="M594">
            <v>14.6</v>
          </cell>
          <cell r="N594">
            <v>7.5</v>
          </cell>
          <cell r="O594">
            <v>0.6</v>
          </cell>
          <cell r="P594">
            <v>5</v>
          </cell>
          <cell r="R594">
            <v>248</v>
          </cell>
          <cell r="S594">
            <v>0</v>
          </cell>
          <cell r="T594">
            <v>7.31</v>
          </cell>
          <cell r="W594">
            <v>19.84</v>
          </cell>
          <cell r="X594">
            <v>243</v>
          </cell>
          <cell r="Y594">
            <v>0</v>
          </cell>
        </row>
        <row r="595">
          <cell r="B595" t="str">
            <v>RES</v>
          </cell>
          <cell r="C595">
            <v>81480</v>
          </cell>
          <cell r="D595">
            <v>2015</v>
          </cell>
          <cell r="E595">
            <v>88.6</v>
          </cell>
          <cell r="F595">
            <v>366</v>
          </cell>
          <cell r="G595">
            <v>138</v>
          </cell>
          <cell r="H595">
            <v>22</v>
          </cell>
          <cell r="I595">
            <v>72</v>
          </cell>
          <cell r="J595">
            <v>235</v>
          </cell>
          <cell r="K595">
            <v>292</v>
          </cell>
          <cell r="L595">
            <v>15.3</v>
          </cell>
          <cell r="M595">
            <v>14.1</v>
          </cell>
          <cell r="N595">
            <v>8.1999999999999993</v>
          </cell>
          <cell r="O595">
            <v>0.6</v>
          </cell>
          <cell r="P595">
            <v>5</v>
          </cell>
          <cell r="R595">
            <v>246</v>
          </cell>
          <cell r="S595">
            <v>11.98</v>
          </cell>
          <cell r="T595">
            <v>7.32</v>
          </cell>
          <cell r="W595">
            <v>19.2</v>
          </cell>
          <cell r="X595">
            <v>248</v>
          </cell>
          <cell r="Y595">
            <v>0</v>
          </cell>
        </row>
        <row r="596">
          <cell r="B596" t="str">
            <v>Silo 06</v>
          </cell>
          <cell r="C596">
            <v>81485</v>
          </cell>
          <cell r="D596">
            <v>2013</v>
          </cell>
          <cell r="E596">
            <v>36.9</v>
          </cell>
          <cell r="F596">
            <v>71</v>
          </cell>
          <cell r="G596">
            <v>168</v>
          </cell>
          <cell r="H596">
            <v>34</v>
          </cell>
          <cell r="I596">
            <v>35</v>
          </cell>
          <cell r="J596">
            <v>183</v>
          </cell>
          <cell r="K596">
            <v>332</v>
          </cell>
          <cell r="L596">
            <v>2.2000000000000002</v>
          </cell>
          <cell r="M596">
            <v>9.8000000000000007</v>
          </cell>
          <cell r="N596">
            <v>2.6</v>
          </cell>
          <cell r="O596">
            <v>0.3</v>
          </cell>
          <cell r="P596">
            <v>0.1</v>
          </cell>
          <cell r="Q596">
            <v>0.25</v>
          </cell>
          <cell r="R596">
            <v>140</v>
          </cell>
          <cell r="S596">
            <v>11.89</v>
          </cell>
          <cell r="T596">
            <v>7.31</v>
          </cell>
          <cell r="U596">
            <v>1.42</v>
          </cell>
          <cell r="W596">
            <v>-11.04</v>
          </cell>
          <cell r="X596">
            <v>528</v>
          </cell>
          <cell r="Y596">
            <v>0</v>
          </cell>
        </row>
        <row r="597">
          <cell r="B597" t="str">
            <v>Silo 09</v>
          </cell>
          <cell r="C597">
            <v>81486</v>
          </cell>
          <cell r="D597">
            <v>2014</v>
          </cell>
          <cell r="E597">
            <v>37.4</v>
          </cell>
          <cell r="F597">
            <v>160</v>
          </cell>
          <cell r="G597">
            <v>265</v>
          </cell>
          <cell r="H597">
            <v>34</v>
          </cell>
          <cell r="I597">
            <v>109</v>
          </cell>
          <cell r="J597">
            <v>297</v>
          </cell>
          <cell r="K597">
            <v>434</v>
          </cell>
          <cell r="L597">
            <v>6</v>
          </cell>
          <cell r="M597">
            <v>36.200000000000003</v>
          </cell>
          <cell r="N597">
            <v>7.5</v>
          </cell>
          <cell r="O597">
            <v>1.5</v>
          </cell>
          <cell r="P597">
            <v>2.1</v>
          </cell>
          <cell r="R597">
            <v>137</v>
          </cell>
          <cell r="S597">
            <v>0</v>
          </cell>
          <cell r="T597">
            <v>6.14</v>
          </cell>
          <cell r="U597">
            <v>2.76</v>
          </cell>
          <cell r="W597">
            <v>3.68</v>
          </cell>
          <cell r="X597">
            <v>263</v>
          </cell>
          <cell r="Y597">
            <v>0</v>
          </cell>
        </row>
        <row r="598">
          <cell r="B598" t="str">
            <v>WGB 40/43/11/4/1,5/0,5</v>
          </cell>
          <cell r="C598">
            <v>81487</v>
          </cell>
          <cell r="D598">
            <v>2015</v>
          </cell>
          <cell r="E598">
            <v>89.7</v>
          </cell>
          <cell r="F598">
            <v>143</v>
          </cell>
          <cell r="G598">
            <v>43</v>
          </cell>
          <cell r="H598">
            <v>26</v>
          </cell>
          <cell r="I598">
            <v>97</v>
          </cell>
          <cell r="J598">
            <v>45</v>
          </cell>
          <cell r="K598">
            <v>129</v>
          </cell>
          <cell r="L598">
            <v>5.4</v>
          </cell>
          <cell r="M598">
            <v>7.4</v>
          </cell>
          <cell r="N598">
            <v>15.7</v>
          </cell>
          <cell r="O598">
            <v>5.7</v>
          </cell>
          <cell r="P598">
            <v>4.9000000000000004</v>
          </cell>
          <cell r="R598">
            <v>152</v>
          </cell>
          <cell r="S598">
            <v>0</v>
          </cell>
          <cell r="T598">
            <v>7.19</v>
          </cell>
          <cell r="W598">
            <v>-1.44</v>
          </cell>
          <cell r="X598">
            <v>605</v>
          </cell>
          <cell r="Y598">
            <v>0</v>
          </cell>
        </row>
        <row r="599">
          <cell r="B599" t="str">
            <v>WGB 40/43/11/4/1,5/0,5</v>
          </cell>
          <cell r="C599">
            <v>81487</v>
          </cell>
          <cell r="D599" t="str">
            <v>2015</v>
          </cell>
          <cell r="E599">
            <v>89.7</v>
          </cell>
          <cell r="F599">
            <v>143</v>
          </cell>
          <cell r="G599">
            <v>43</v>
          </cell>
          <cell r="H599">
            <v>26</v>
          </cell>
          <cell r="I599">
            <v>97</v>
          </cell>
          <cell r="J599">
            <v>45</v>
          </cell>
          <cell r="K599">
            <v>129</v>
          </cell>
          <cell r="L599">
            <v>5.4</v>
          </cell>
          <cell r="M599">
            <v>7.4</v>
          </cell>
          <cell r="N599">
            <v>15.7</v>
          </cell>
          <cell r="O599">
            <v>5.7</v>
          </cell>
          <cell r="P599">
            <v>4.9000000000000004</v>
          </cell>
          <cell r="Q599">
            <v>0.21</v>
          </cell>
          <cell r="R599">
            <v>164</v>
          </cell>
          <cell r="S599">
            <v>12.68</v>
          </cell>
          <cell r="T599">
            <v>8.09</v>
          </cell>
          <cell r="W599">
            <v>-3.36</v>
          </cell>
          <cell r="X599">
            <v>605</v>
          </cell>
          <cell r="Y599">
            <v>0</v>
          </cell>
        </row>
        <row r="600">
          <cell r="B600" t="str">
            <v>Silo 07</v>
          </cell>
          <cell r="C600">
            <v>81488</v>
          </cell>
          <cell r="D600">
            <v>2014</v>
          </cell>
          <cell r="E600">
            <v>30.9</v>
          </cell>
          <cell r="F600">
            <v>193</v>
          </cell>
          <cell r="G600">
            <v>235</v>
          </cell>
          <cell r="H600">
            <v>41</v>
          </cell>
          <cell r="I600">
            <v>100</v>
          </cell>
          <cell r="J600">
            <v>268</v>
          </cell>
          <cell r="K600">
            <v>393</v>
          </cell>
          <cell r="L600">
            <v>7.3</v>
          </cell>
          <cell r="M600">
            <v>21.9</v>
          </cell>
          <cell r="N600">
            <v>7.4</v>
          </cell>
          <cell r="O600">
            <v>4.3</v>
          </cell>
          <cell r="P600">
            <v>2.8</v>
          </cell>
          <cell r="Q600">
            <v>0.15</v>
          </cell>
          <cell r="R600">
            <v>147</v>
          </cell>
          <cell r="S600">
            <v>10.74</v>
          </cell>
          <cell r="T600">
            <v>6.48</v>
          </cell>
          <cell r="U600">
            <v>2.5099999999999998</v>
          </cell>
          <cell r="W600">
            <v>7.36</v>
          </cell>
          <cell r="X600">
            <v>273</v>
          </cell>
          <cell r="Y600">
            <v>0</v>
          </cell>
        </row>
        <row r="601">
          <cell r="B601" t="str">
            <v>Silo 06</v>
          </cell>
          <cell r="C601">
            <v>81501</v>
          </cell>
          <cell r="D601" t="str">
            <v>2013</v>
          </cell>
          <cell r="E601">
            <v>36.799999999999997</v>
          </cell>
          <cell r="F601">
            <v>76</v>
          </cell>
          <cell r="G601">
            <v>166</v>
          </cell>
          <cell r="H601">
            <v>41</v>
          </cell>
          <cell r="I601">
            <v>33</v>
          </cell>
          <cell r="J601">
            <v>183</v>
          </cell>
          <cell r="K601">
            <v>329</v>
          </cell>
          <cell r="L601">
            <v>2.4</v>
          </cell>
          <cell r="M601">
            <v>9</v>
          </cell>
          <cell r="N601">
            <v>2.2999999999999998</v>
          </cell>
          <cell r="O601">
            <v>0.1</v>
          </cell>
          <cell r="P601">
            <v>1.1000000000000001</v>
          </cell>
          <cell r="Q601">
            <v>0.25</v>
          </cell>
          <cell r="R601">
            <v>143</v>
          </cell>
          <cell r="S601">
            <v>12.05</v>
          </cell>
          <cell r="T601">
            <v>7.44</v>
          </cell>
          <cell r="U601">
            <v>1.4</v>
          </cell>
          <cell r="W601">
            <v>-10.72</v>
          </cell>
          <cell r="X601">
            <v>521</v>
          </cell>
          <cell r="Y601">
            <v>0</v>
          </cell>
        </row>
        <row r="602">
          <cell r="B602" t="str">
            <v>Silo 09</v>
          </cell>
          <cell r="C602">
            <v>81502</v>
          </cell>
          <cell r="D602">
            <v>2014</v>
          </cell>
          <cell r="E602">
            <v>35.1</v>
          </cell>
          <cell r="F602">
            <v>169</v>
          </cell>
          <cell r="G602">
            <v>255</v>
          </cell>
          <cell r="H602">
            <v>34</v>
          </cell>
          <cell r="I602">
            <v>101</v>
          </cell>
          <cell r="J602">
            <v>288</v>
          </cell>
          <cell r="K602">
            <v>418</v>
          </cell>
          <cell r="L602">
            <v>5.7</v>
          </cell>
          <cell r="M602">
            <v>30.6</v>
          </cell>
          <cell r="N602">
            <v>6.2</v>
          </cell>
          <cell r="O602">
            <v>1</v>
          </cell>
          <cell r="P602">
            <v>2.1</v>
          </cell>
          <cell r="R602">
            <v>139</v>
          </cell>
          <cell r="S602">
            <v>0</v>
          </cell>
          <cell r="T602">
            <v>6.22</v>
          </cell>
          <cell r="U602">
            <v>2.66</v>
          </cell>
          <cell r="W602">
            <v>4.8</v>
          </cell>
          <cell r="X602">
            <v>278</v>
          </cell>
          <cell r="Y602">
            <v>0</v>
          </cell>
        </row>
        <row r="603">
          <cell r="B603" t="str">
            <v>RES</v>
          </cell>
          <cell r="C603">
            <v>81503</v>
          </cell>
          <cell r="D603">
            <v>2015</v>
          </cell>
          <cell r="E603">
            <v>88.5</v>
          </cell>
          <cell r="F603">
            <v>370</v>
          </cell>
          <cell r="G603">
            <v>146</v>
          </cell>
          <cell r="H603">
            <v>19</v>
          </cell>
          <cell r="I603">
            <v>69</v>
          </cell>
          <cell r="J603">
            <v>230</v>
          </cell>
          <cell r="K603">
            <v>287</v>
          </cell>
          <cell r="L603">
            <v>15.3</v>
          </cell>
          <cell r="M603">
            <v>13.8</v>
          </cell>
          <cell r="N603">
            <v>7.5</v>
          </cell>
          <cell r="O603">
            <v>0.6</v>
          </cell>
          <cell r="P603">
            <v>4.5999999999999996</v>
          </cell>
          <cell r="R603">
            <v>248</v>
          </cell>
          <cell r="S603">
            <v>0</v>
          </cell>
          <cell r="T603">
            <v>7.32</v>
          </cell>
          <cell r="U603">
            <v>0.36</v>
          </cell>
          <cell r="W603">
            <v>19.52</v>
          </cell>
          <cell r="X603">
            <v>255</v>
          </cell>
          <cell r="Y603">
            <v>0</v>
          </cell>
        </row>
        <row r="604">
          <cell r="B604" t="str">
            <v>WGB 40/43/11/4/1,5/0,5</v>
          </cell>
          <cell r="C604">
            <v>81504</v>
          </cell>
          <cell r="D604" t="str">
            <v>2015</v>
          </cell>
          <cell r="E604">
            <v>89.6</v>
          </cell>
          <cell r="F604">
            <v>138</v>
          </cell>
          <cell r="G604">
            <v>65</v>
          </cell>
          <cell r="H604">
            <v>21</v>
          </cell>
          <cell r="I604">
            <v>102</v>
          </cell>
          <cell r="J604">
            <v>75</v>
          </cell>
          <cell r="K604">
            <v>149</v>
          </cell>
          <cell r="L604">
            <v>4.9000000000000004</v>
          </cell>
          <cell r="M604">
            <v>7.9</v>
          </cell>
          <cell r="N604">
            <v>16.899999999999999</v>
          </cell>
          <cell r="O604">
            <v>5.9</v>
          </cell>
          <cell r="P604">
            <v>4.7</v>
          </cell>
          <cell r="Q604">
            <v>0.21</v>
          </cell>
          <cell r="R604">
            <v>158</v>
          </cell>
          <cell r="S604">
            <v>12.2</v>
          </cell>
          <cell r="T604">
            <v>7.7</v>
          </cell>
          <cell r="W604">
            <v>-3.2</v>
          </cell>
          <cell r="X604">
            <v>590</v>
          </cell>
          <cell r="Y604">
            <v>0</v>
          </cell>
        </row>
        <row r="605">
          <cell r="B605" t="str">
            <v>Stroh, Gerste</v>
          </cell>
          <cell r="C605">
            <v>81505</v>
          </cell>
          <cell r="D605">
            <v>2014</v>
          </cell>
          <cell r="E605">
            <v>93.4</v>
          </cell>
          <cell r="F605">
            <v>41</v>
          </cell>
          <cell r="G605">
            <v>461</v>
          </cell>
          <cell r="H605">
            <v>14</v>
          </cell>
          <cell r="I605">
            <v>52</v>
          </cell>
          <cell r="J605">
            <v>512</v>
          </cell>
          <cell r="K605">
            <v>775</v>
          </cell>
          <cell r="L605">
            <v>0.9</v>
          </cell>
          <cell r="M605">
            <v>13.8</v>
          </cell>
          <cell r="N605">
            <v>2.9</v>
          </cell>
          <cell r="O605">
            <v>0.4</v>
          </cell>
          <cell r="P605">
            <v>0.6</v>
          </cell>
          <cell r="R605">
            <v>80</v>
          </cell>
          <cell r="S605">
            <v>0</v>
          </cell>
          <cell r="T605">
            <v>3.81</v>
          </cell>
          <cell r="W605">
            <v>-6.24</v>
          </cell>
          <cell r="X605">
            <v>118</v>
          </cell>
          <cell r="Y605">
            <v>0</v>
          </cell>
        </row>
        <row r="606">
          <cell r="B606" t="str">
            <v>RES</v>
          </cell>
          <cell r="C606">
            <v>81510</v>
          </cell>
          <cell r="D606">
            <v>2015</v>
          </cell>
          <cell r="E606">
            <v>87.7</v>
          </cell>
          <cell r="F606">
            <v>388</v>
          </cell>
          <cell r="G606">
            <v>140</v>
          </cell>
          <cell r="H606">
            <v>18</v>
          </cell>
          <cell r="I606">
            <v>73</v>
          </cell>
          <cell r="J606">
            <v>230</v>
          </cell>
          <cell r="K606">
            <v>291</v>
          </cell>
          <cell r="L606">
            <v>15.8</v>
          </cell>
          <cell r="M606">
            <v>14.8</v>
          </cell>
          <cell r="N606">
            <v>7</v>
          </cell>
          <cell r="O606">
            <v>0.6</v>
          </cell>
          <cell r="P606">
            <v>4.7</v>
          </cell>
          <cell r="R606">
            <v>254</v>
          </cell>
          <cell r="S606">
            <v>0</v>
          </cell>
          <cell r="T606">
            <v>7.31</v>
          </cell>
          <cell r="W606">
            <v>21.44</v>
          </cell>
          <cell r="X606">
            <v>230</v>
          </cell>
          <cell r="Y606">
            <v>0</v>
          </cell>
        </row>
        <row r="607">
          <cell r="B607" t="str">
            <v>Silo 05</v>
          </cell>
          <cell r="C607">
            <v>81511</v>
          </cell>
          <cell r="D607">
            <v>2014</v>
          </cell>
          <cell r="E607">
            <v>37</v>
          </cell>
          <cell r="F607">
            <v>80</v>
          </cell>
          <cell r="G607">
            <v>182</v>
          </cell>
          <cell r="H607">
            <v>42</v>
          </cell>
          <cell r="I607">
            <v>34</v>
          </cell>
          <cell r="J607">
            <v>195</v>
          </cell>
          <cell r="K607">
            <v>353</v>
          </cell>
          <cell r="L607">
            <v>2.8</v>
          </cell>
          <cell r="M607">
            <v>10.199999999999999</v>
          </cell>
          <cell r="N607">
            <v>2.6</v>
          </cell>
          <cell r="O607">
            <v>0.2</v>
          </cell>
          <cell r="P607">
            <v>1.2</v>
          </cell>
          <cell r="Q607">
            <v>0.25</v>
          </cell>
          <cell r="R607">
            <v>143</v>
          </cell>
          <cell r="S607">
            <v>0</v>
          </cell>
          <cell r="T607">
            <v>7.34</v>
          </cell>
          <cell r="U607">
            <v>1.55</v>
          </cell>
          <cell r="W607">
            <v>-10.08</v>
          </cell>
          <cell r="X607">
            <v>491</v>
          </cell>
          <cell r="Y607">
            <v>0</v>
          </cell>
        </row>
        <row r="608">
          <cell r="B608" t="str">
            <v>Silo 09</v>
          </cell>
          <cell r="C608">
            <v>81512</v>
          </cell>
          <cell r="D608">
            <v>2014</v>
          </cell>
          <cell r="E608">
            <v>38</v>
          </cell>
          <cell r="F608">
            <v>174</v>
          </cell>
          <cell r="G608">
            <v>287</v>
          </cell>
          <cell r="H608">
            <v>41</v>
          </cell>
          <cell r="I608">
            <v>122</v>
          </cell>
          <cell r="J608">
            <v>325</v>
          </cell>
          <cell r="K608">
            <v>463</v>
          </cell>
          <cell r="L608">
            <v>6.4</v>
          </cell>
          <cell r="M608">
            <v>40.4</v>
          </cell>
          <cell r="N608">
            <v>8.9</v>
          </cell>
          <cell r="O608">
            <v>0.8</v>
          </cell>
          <cell r="P608">
            <v>2.2000000000000002</v>
          </cell>
          <cell r="Q608">
            <v>0.15</v>
          </cell>
          <cell r="R608">
            <v>142</v>
          </cell>
          <cell r="S608">
            <v>0</v>
          </cell>
          <cell r="T608">
            <v>6.39</v>
          </cell>
          <cell r="U608">
            <v>2.93</v>
          </cell>
          <cell r="W608">
            <v>5.12</v>
          </cell>
          <cell r="X608">
            <v>200</v>
          </cell>
          <cell r="Y608">
            <v>0</v>
          </cell>
        </row>
        <row r="609">
          <cell r="B609" t="str">
            <v>Haferflocken</v>
          </cell>
          <cell r="C609">
            <v>81517</v>
          </cell>
          <cell r="D609">
            <v>2015</v>
          </cell>
          <cell r="E609">
            <v>89.4</v>
          </cell>
          <cell r="F609">
            <v>124</v>
          </cell>
          <cell r="G609">
            <v>16</v>
          </cell>
          <cell r="H609">
            <v>76</v>
          </cell>
          <cell r="I609">
            <v>15</v>
          </cell>
          <cell r="J609">
            <v>25</v>
          </cell>
          <cell r="K609">
            <v>60</v>
          </cell>
          <cell r="L609">
            <v>4.8</v>
          </cell>
          <cell r="M609">
            <v>4.9000000000000004</v>
          </cell>
          <cell r="N609">
            <v>1.3</v>
          </cell>
          <cell r="O609">
            <v>0.1</v>
          </cell>
          <cell r="P609">
            <v>0.9</v>
          </cell>
          <cell r="Q609">
            <v>0.15</v>
          </cell>
          <cell r="R609">
            <v>170</v>
          </cell>
          <cell r="S609">
            <v>13.79</v>
          </cell>
          <cell r="T609">
            <v>8.6999999999999993</v>
          </cell>
          <cell r="U609">
            <v>-0.2</v>
          </cell>
          <cell r="W609">
            <v>-7.36</v>
          </cell>
          <cell r="X609">
            <v>725</v>
          </cell>
          <cell r="Y609">
            <v>0</v>
          </cell>
        </row>
        <row r="610">
          <cell r="B610" t="str">
            <v>KF Kalb "Leinex"</v>
          </cell>
          <cell r="C610">
            <v>81518</v>
          </cell>
          <cell r="D610" t="str">
            <v>2015</v>
          </cell>
          <cell r="E610">
            <v>89</v>
          </cell>
          <cell r="F610">
            <v>199</v>
          </cell>
          <cell r="G610">
            <v>75</v>
          </cell>
          <cell r="H610">
            <v>48</v>
          </cell>
          <cell r="I610">
            <v>86</v>
          </cell>
          <cell r="J610">
            <v>99</v>
          </cell>
          <cell r="K610">
            <v>162</v>
          </cell>
          <cell r="L610">
            <v>11.2</v>
          </cell>
          <cell r="M610">
            <v>8.9</v>
          </cell>
          <cell r="N610">
            <v>13.8</v>
          </cell>
          <cell r="O610">
            <v>3.8</v>
          </cell>
          <cell r="P610">
            <v>4</v>
          </cell>
          <cell r="Q610">
            <v>0.32</v>
          </cell>
          <cell r="R610">
            <v>187</v>
          </cell>
          <cell r="S610">
            <v>12.48</v>
          </cell>
          <cell r="T610">
            <v>7.8</v>
          </cell>
          <cell r="W610">
            <v>1.92</v>
          </cell>
          <cell r="X610">
            <v>505</v>
          </cell>
          <cell r="Y610">
            <v>0</v>
          </cell>
        </row>
        <row r="611">
          <cell r="B611" t="str">
            <v>KF Kalb "Haferflocken"</v>
          </cell>
          <cell r="C611">
            <v>81519</v>
          </cell>
          <cell r="D611" t="str">
            <v>2015</v>
          </cell>
          <cell r="E611">
            <v>89</v>
          </cell>
          <cell r="F611">
            <v>198</v>
          </cell>
          <cell r="G611">
            <v>72</v>
          </cell>
          <cell r="H611">
            <v>36</v>
          </cell>
          <cell r="I611">
            <v>116</v>
          </cell>
          <cell r="J611">
            <v>96</v>
          </cell>
          <cell r="K611">
            <v>152</v>
          </cell>
          <cell r="L611">
            <v>12.4</v>
          </cell>
          <cell r="M611">
            <v>9.4</v>
          </cell>
          <cell r="N611">
            <v>19.2</v>
          </cell>
          <cell r="O611">
            <v>5.0999999999999996</v>
          </cell>
          <cell r="P611">
            <v>3.8</v>
          </cell>
          <cell r="Q611">
            <v>0.26</v>
          </cell>
          <cell r="R611">
            <v>178</v>
          </cell>
          <cell r="S611">
            <v>12.25</v>
          </cell>
          <cell r="T611">
            <v>7.71</v>
          </cell>
          <cell r="W611">
            <v>3.2</v>
          </cell>
          <cell r="X611">
            <v>498</v>
          </cell>
          <cell r="Y611">
            <v>0</v>
          </cell>
        </row>
        <row r="612">
          <cell r="B612" t="str">
            <v>Silo 12</v>
          </cell>
          <cell r="C612">
            <v>81524</v>
          </cell>
          <cell r="D612" t="str">
            <v>2014</v>
          </cell>
          <cell r="E612">
            <v>36.4</v>
          </cell>
          <cell r="F612">
            <v>81</v>
          </cell>
          <cell r="G612">
            <v>168</v>
          </cell>
          <cell r="H612">
            <v>41</v>
          </cell>
          <cell r="I612">
            <v>37</v>
          </cell>
          <cell r="J612">
            <v>177</v>
          </cell>
          <cell r="K612">
            <v>334</v>
          </cell>
          <cell r="L612">
            <v>3.6</v>
          </cell>
          <cell r="M612">
            <v>9</v>
          </cell>
          <cell r="N612">
            <v>3</v>
          </cell>
          <cell r="O612">
            <v>0.3</v>
          </cell>
          <cell r="P612">
            <v>1.4</v>
          </cell>
          <cell r="Q612">
            <v>0.25</v>
          </cell>
          <cell r="R612">
            <v>141</v>
          </cell>
          <cell r="S612">
            <v>11.73</v>
          </cell>
          <cell r="T612">
            <v>7.19</v>
          </cell>
          <cell r="U612">
            <v>1.43</v>
          </cell>
          <cell r="W612">
            <v>-9.6</v>
          </cell>
          <cell r="X612">
            <v>507</v>
          </cell>
          <cell r="Y612">
            <v>0</v>
          </cell>
        </row>
        <row r="613">
          <cell r="B613" t="str">
            <v>Silo 09</v>
          </cell>
          <cell r="C613">
            <v>81525</v>
          </cell>
          <cell r="D613" t="str">
            <v>2014</v>
          </cell>
          <cell r="E613">
            <v>36.1</v>
          </cell>
          <cell r="F613">
            <v>153</v>
          </cell>
          <cell r="G613">
            <v>278</v>
          </cell>
          <cell r="H613">
            <v>34</v>
          </cell>
          <cell r="I613">
            <v>102</v>
          </cell>
          <cell r="J613">
            <v>302</v>
          </cell>
          <cell r="K613">
            <v>438</v>
          </cell>
          <cell r="L613">
            <v>6.2</v>
          </cell>
          <cell r="M613">
            <v>29.9</v>
          </cell>
          <cell r="N613">
            <v>10.199999999999999</v>
          </cell>
          <cell r="O613">
            <v>1.2</v>
          </cell>
          <cell r="P613">
            <v>2.5</v>
          </cell>
          <cell r="Q613">
            <v>0.15</v>
          </cell>
          <cell r="R613">
            <v>130</v>
          </cell>
          <cell r="S613">
            <v>9.76</v>
          </cell>
          <cell r="T613">
            <v>5.78</v>
          </cell>
          <cell r="U613">
            <v>2.78</v>
          </cell>
          <cell r="W613">
            <v>3.68</v>
          </cell>
          <cell r="X613">
            <v>273</v>
          </cell>
          <cell r="Y613">
            <v>0</v>
          </cell>
        </row>
        <row r="614">
          <cell r="B614" t="str">
            <v>Silo 11</v>
          </cell>
          <cell r="C614">
            <v>81526</v>
          </cell>
          <cell r="D614" t="str">
            <v>2014</v>
          </cell>
          <cell r="E614">
            <v>36.299999999999997</v>
          </cell>
          <cell r="F614">
            <v>81</v>
          </cell>
          <cell r="G614">
            <v>165</v>
          </cell>
          <cell r="H614">
            <v>38</v>
          </cell>
          <cell r="I614">
            <v>34</v>
          </cell>
          <cell r="J614">
            <v>189</v>
          </cell>
          <cell r="K614">
            <v>312</v>
          </cell>
          <cell r="L614">
            <v>3.3</v>
          </cell>
          <cell r="M614">
            <v>9.3000000000000007</v>
          </cell>
          <cell r="N614">
            <v>2.7</v>
          </cell>
          <cell r="O614">
            <v>0.2</v>
          </cell>
          <cell r="P614">
            <v>1.1000000000000001</v>
          </cell>
          <cell r="Q614">
            <v>0.25</v>
          </cell>
          <cell r="R614">
            <v>140</v>
          </cell>
          <cell r="S614">
            <v>11.67</v>
          </cell>
          <cell r="T614">
            <v>7.14</v>
          </cell>
          <cell r="U614">
            <v>1.3</v>
          </cell>
          <cell r="W614">
            <v>-9.44</v>
          </cell>
          <cell r="X614">
            <v>535</v>
          </cell>
          <cell r="Y614">
            <v>0</v>
          </cell>
        </row>
        <row r="615">
          <cell r="B615" t="str">
            <v>RES</v>
          </cell>
          <cell r="C615">
            <v>81527</v>
          </cell>
          <cell r="D615" t="str">
            <v>2015</v>
          </cell>
          <cell r="E615">
            <v>88.8</v>
          </cell>
          <cell r="F615">
            <v>361</v>
          </cell>
          <cell r="G615">
            <v>152</v>
          </cell>
          <cell r="H615">
            <v>20</v>
          </cell>
          <cell r="I615">
            <v>67</v>
          </cell>
          <cell r="J615">
            <v>227</v>
          </cell>
          <cell r="K615">
            <v>287</v>
          </cell>
          <cell r="L615">
            <v>15.5</v>
          </cell>
          <cell r="M615">
            <v>14.1</v>
          </cell>
          <cell r="N615">
            <v>8</v>
          </cell>
          <cell r="O615">
            <v>0.6</v>
          </cell>
          <cell r="P615">
            <v>5</v>
          </cell>
          <cell r="Q615">
            <v>0.35</v>
          </cell>
          <cell r="R615">
            <v>245</v>
          </cell>
          <cell r="S615">
            <v>11.99</v>
          </cell>
          <cell r="T615">
            <v>7.32</v>
          </cell>
          <cell r="U615">
            <v>0.36</v>
          </cell>
          <cell r="W615">
            <v>18.559999999999999</v>
          </cell>
          <cell r="X615">
            <v>265</v>
          </cell>
          <cell r="Y615">
            <v>0</v>
          </cell>
        </row>
        <row r="616">
          <cell r="B616" t="str">
            <v>WGB 40/43/11/4/1,5/0,5</v>
          </cell>
          <cell r="C616">
            <v>81528</v>
          </cell>
          <cell r="D616" t="str">
            <v>2015</v>
          </cell>
          <cell r="E616">
            <v>89.9</v>
          </cell>
          <cell r="F616">
            <v>143</v>
          </cell>
          <cell r="G616">
            <v>44</v>
          </cell>
          <cell r="H616">
            <v>21</v>
          </cell>
          <cell r="I616">
            <v>78</v>
          </cell>
          <cell r="J616">
            <v>50</v>
          </cell>
          <cell r="K616">
            <v>132</v>
          </cell>
          <cell r="L616">
            <v>5.6</v>
          </cell>
          <cell r="M616">
            <v>7.7</v>
          </cell>
          <cell r="N616">
            <v>14.6</v>
          </cell>
          <cell r="O616">
            <v>4.2</v>
          </cell>
          <cell r="P616">
            <v>3.2</v>
          </cell>
          <cell r="Q616">
            <v>0.21</v>
          </cell>
          <cell r="R616">
            <v>166</v>
          </cell>
          <cell r="S616">
            <v>12.91</v>
          </cell>
          <cell r="T616">
            <v>8.25</v>
          </cell>
          <cell r="W616">
            <v>-3.68</v>
          </cell>
          <cell r="X616">
            <v>626</v>
          </cell>
          <cell r="Y616">
            <v>0</v>
          </cell>
        </row>
        <row r="617">
          <cell r="B617" t="str">
            <v>Stroh, Gerste</v>
          </cell>
          <cell r="C617">
            <v>81529</v>
          </cell>
          <cell r="D617" t="str">
            <v>2014</v>
          </cell>
          <cell r="E617">
            <v>91.3</v>
          </cell>
          <cell r="F617">
            <v>23</v>
          </cell>
          <cell r="G617">
            <v>479</v>
          </cell>
          <cell r="H617">
            <v>15</v>
          </cell>
          <cell r="I617">
            <v>50</v>
          </cell>
          <cell r="J617">
            <v>527</v>
          </cell>
          <cell r="K617">
            <v>803</v>
          </cell>
          <cell r="L617">
            <v>0.8</v>
          </cell>
          <cell r="M617">
            <v>13.3</v>
          </cell>
          <cell r="N617">
            <v>2.7</v>
          </cell>
          <cell r="O617">
            <v>0.3</v>
          </cell>
          <cell r="P617">
            <v>0.5</v>
          </cell>
          <cell r="Q617">
            <v>0.45</v>
          </cell>
          <cell r="R617">
            <v>71</v>
          </cell>
          <cell r="S617">
            <v>6.85</v>
          </cell>
          <cell r="T617">
            <v>3.79</v>
          </cell>
          <cell r="W617">
            <v>-7.68</v>
          </cell>
          <cell r="X617">
            <v>109</v>
          </cell>
          <cell r="Y617">
            <v>0</v>
          </cell>
        </row>
        <row r="618">
          <cell r="B618" t="str">
            <v>Heu, 2. S.</v>
          </cell>
          <cell r="C618">
            <v>81530</v>
          </cell>
          <cell r="D618" t="str">
            <v>2014</v>
          </cell>
          <cell r="E618">
            <v>91.7</v>
          </cell>
          <cell r="F618">
            <v>107</v>
          </cell>
          <cell r="G618">
            <v>277</v>
          </cell>
          <cell r="H618">
            <v>27</v>
          </cell>
          <cell r="I618">
            <v>82</v>
          </cell>
          <cell r="J618">
            <v>301</v>
          </cell>
          <cell r="K618">
            <v>492</v>
          </cell>
          <cell r="L618">
            <v>4.7</v>
          </cell>
          <cell r="M618">
            <v>10.7</v>
          </cell>
          <cell r="N618">
            <v>4.8</v>
          </cell>
          <cell r="O618">
            <v>2.1</v>
          </cell>
          <cell r="P618">
            <v>1.7</v>
          </cell>
          <cell r="Q618">
            <v>0.25</v>
          </cell>
          <cell r="R618">
            <v>132</v>
          </cell>
          <cell r="S618">
            <v>10.199999999999999</v>
          </cell>
          <cell r="T618">
            <v>6.07</v>
          </cell>
          <cell r="U618">
            <v>3.1</v>
          </cell>
          <cell r="W618">
            <v>-4</v>
          </cell>
          <cell r="X618">
            <v>292</v>
          </cell>
          <cell r="Y618">
            <v>0</v>
          </cell>
        </row>
        <row r="619">
          <cell r="B619" t="str">
            <v>Heu, 2. S.</v>
          </cell>
          <cell r="C619">
            <v>81530</v>
          </cell>
          <cell r="D619" t="str">
            <v>2014</v>
          </cell>
          <cell r="E619">
            <v>91.5</v>
          </cell>
          <cell r="F619">
            <v>107</v>
          </cell>
          <cell r="G619">
            <v>277</v>
          </cell>
          <cell r="H619">
            <v>27</v>
          </cell>
          <cell r="I619">
            <v>82</v>
          </cell>
          <cell r="J619">
            <v>301</v>
          </cell>
          <cell r="K619">
            <v>492</v>
          </cell>
          <cell r="L619">
            <v>4.7</v>
          </cell>
          <cell r="M619">
            <v>21</v>
          </cell>
          <cell r="N619">
            <v>4.8</v>
          </cell>
          <cell r="O619">
            <v>2.1</v>
          </cell>
          <cell r="P619">
            <v>1.7</v>
          </cell>
          <cell r="Q619">
            <v>0.25</v>
          </cell>
          <cell r="R619">
            <v>132</v>
          </cell>
          <cell r="S619">
            <v>10.199999999999999</v>
          </cell>
          <cell r="T619">
            <v>6.07</v>
          </cell>
          <cell r="U619">
            <v>3.1</v>
          </cell>
          <cell r="V619">
            <v>60</v>
          </cell>
          <cell r="W619">
            <v>-4</v>
          </cell>
          <cell r="X619">
            <v>292</v>
          </cell>
          <cell r="Y619">
            <v>0</v>
          </cell>
        </row>
        <row r="620">
          <cell r="B620" t="str">
            <v>Silo 05</v>
          </cell>
          <cell r="C620">
            <v>81539</v>
          </cell>
          <cell r="D620" t="str">
            <v>2014</v>
          </cell>
          <cell r="E620">
            <v>35.700000000000003</v>
          </cell>
          <cell r="F620">
            <v>89</v>
          </cell>
          <cell r="G620">
            <v>174</v>
          </cell>
          <cell r="H620">
            <v>34</v>
          </cell>
          <cell r="I620">
            <v>45</v>
          </cell>
          <cell r="J620">
            <v>180</v>
          </cell>
          <cell r="K620">
            <v>333</v>
          </cell>
          <cell r="L620">
            <v>3.9</v>
          </cell>
          <cell r="M620">
            <v>13.7</v>
          </cell>
          <cell r="N620">
            <v>3.3</v>
          </cell>
          <cell r="O620">
            <v>0.1</v>
          </cell>
          <cell r="P620">
            <v>1.5</v>
          </cell>
          <cell r="Q620">
            <v>0.25</v>
          </cell>
          <cell r="R620">
            <v>140</v>
          </cell>
          <cell r="S620">
            <v>11.44</v>
          </cell>
          <cell r="T620">
            <v>6.99</v>
          </cell>
          <cell r="U620">
            <v>1.43</v>
          </cell>
          <cell r="W620">
            <v>-8.16</v>
          </cell>
          <cell r="X620">
            <v>499</v>
          </cell>
          <cell r="Y620">
            <v>0</v>
          </cell>
        </row>
        <row r="621">
          <cell r="B621" t="str">
            <v>Silo 09</v>
          </cell>
          <cell r="C621">
            <v>81540</v>
          </cell>
          <cell r="D621" t="str">
            <v>2014</v>
          </cell>
          <cell r="E621">
            <v>36</v>
          </cell>
          <cell r="F621">
            <v>129</v>
          </cell>
          <cell r="G621">
            <v>279</v>
          </cell>
          <cell r="H621">
            <v>37</v>
          </cell>
          <cell r="I621">
            <v>85</v>
          </cell>
          <cell r="J621">
            <v>296</v>
          </cell>
          <cell r="K621">
            <v>453</v>
          </cell>
          <cell r="L621">
            <v>4.5999999999999996</v>
          </cell>
          <cell r="M621">
            <v>27.5</v>
          </cell>
          <cell r="N621">
            <v>5.2</v>
          </cell>
          <cell r="O621">
            <v>1.1000000000000001</v>
          </cell>
          <cell r="P621">
            <v>1.8</v>
          </cell>
          <cell r="Q621">
            <v>0.15</v>
          </cell>
          <cell r="R621">
            <v>135</v>
          </cell>
          <cell r="S621">
            <v>10.54</v>
          </cell>
          <cell r="T621">
            <v>6.32</v>
          </cell>
          <cell r="U621">
            <v>2.87</v>
          </cell>
          <cell r="W621">
            <v>-0.96</v>
          </cell>
          <cell r="X621">
            <v>296</v>
          </cell>
          <cell r="Y621">
            <v>0</v>
          </cell>
        </row>
        <row r="622">
          <cell r="B622" t="str">
            <v>RES</v>
          </cell>
          <cell r="C622">
            <v>81545</v>
          </cell>
          <cell r="D622">
            <v>2015</v>
          </cell>
          <cell r="E622">
            <v>88.1</v>
          </cell>
          <cell r="F622">
            <v>384</v>
          </cell>
          <cell r="G622">
            <v>150</v>
          </cell>
          <cell r="H622">
            <v>17</v>
          </cell>
          <cell r="I622">
            <v>72</v>
          </cell>
          <cell r="J622">
            <v>228</v>
          </cell>
          <cell r="K622">
            <v>286</v>
          </cell>
          <cell r="L622">
            <v>16.5</v>
          </cell>
          <cell r="M622">
            <v>16.100000000000001</v>
          </cell>
          <cell r="N622">
            <v>7.6</v>
          </cell>
          <cell r="O622">
            <v>0.6</v>
          </cell>
          <cell r="P622">
            <v>4.9000000000000004</v>
          </cell>
          <cell r="Q622">
            <v>0.35</v>
          </cell>
          <cell r="R622">
            <v>252</v>
          </cell>
          <cell r="S622">
            <v>11.95</v>
          </cell>
          <cell r="T622">
            <v>7.29</v>
          </cell>
          <cell r="U622">
            <v>0.36</v>
          </cell>
          <cell r="W622">
            <v>21.12</v>
          </cell>
          <cell r="X622">
            <v>241</v>
          </cell>
          <cell r="Y622">
            <v>0</v>
          </cell>
        </row>
        <row r="623">
          <cell r="B623" t="str">
            <v>WGB 40/43/11/4/1,5/0,5</v>
          </cell>
          <cell r="C623">
            <v>81546</v>
          </cell>
          <cell r="D623" t="str">
            <v>2015</v>
          </cell>
          <cell r="E623">
            <v>89.6</v>
          </cell>
          <cell r="F623">
            <v>150</v>
          </cell>
          <cell r="G623">
            <v>40</v>
          </cell>
          <cell r="H623">
            <v>23</v>
          </cell>
          <cell r="I623">
            <v>87</v>
          </cell>
          <cell r="J623">
            <v>41</v>
          </cell>
          <cell r="K623">
            <v>117</v>
          </cell>
          <cell r="L623">
            <v>5.7</v>
          </cell>
          <cell r="M623">
            <v>8.8000000000000007</v>
          </cell>
          <cell r="N623">
            <v>14.6</v>
          </cell>
          <cell r="O623">
            <v>4.0999999999999996</v>
          </cell>
          <cell r="P623">
            <v>3.3</v>
          </cell>
          <cell r="Q623">
            <v>0.21</v>
          </cell>
          <cell r="R623">
            <v>168</v>
          </cell>
          <cell r="S623">
            <v>12.96</v>
          </cell>
          <cell r="T623">
            <v>8.3000000000000007</v>
          </cell>
          <cell r="W623">
            <v>-2.88</v>
          </cell>
          <cell r="X623">
            <v>623</v>
          </cell>
          <cell r="Y623">
            <v>0</v>
          </cell>
        </row>
        <row r="624">
          <cell r="B624" t="str">
            <v>Stroh, Gerste</v>
          </cell>
          <cell r="C624">
            <v>81547</v>
          </cell>
          <cell r="D624" t="str">
            <v>2014</v>
          </cell>
          <cell r="E624">
            <v>91.7</v>
          </cell>
          <cell r="F624">
            <v>35</v>
          </cell>
          <cell r="G624">
            <v>486</v>
          </cell>
          <cell r="H624">
            <v>16</v>
          </cell>
          <cell r="I624">
            <v>54</v>
          </cell>
          <cell r="J624">
            <v>527</v>
          </cell>
          <cell r="K624">
            <v>797</v>
          </cell>
          <cell r="L624">
            <v>0.7</v>
          </cell>
          <cell r="M624">
            <v>17.7</v>
          </cell>
          <cell r="N624">
            <v>3.5</v>
          </cell>
          <cell r="O624">
            <v>0.5</v>
          </cell>
          <cell r="P624">
            <v>0.5</v>
          </cell>
          <cell r="Q624">
            <v>0.45</v>
          </cell>
          <cell r="R624">
            <v>76.7</v>
          </cell>
          <cell r="S624">
            <v>6.85</v>
          </cell>
          <cell r="T624">
            <v>3.78</v>
          </cell>
          <cell r="U624">
            <v>4.3</v>
          </cell>
          <cell r="W624">
            <v>-6.6720000000000006</v>
          </cell>
          <cell r="X624">
            <v>98</v>
          </cell>
          <cell r="Y624">
            <v>0</v>
          </cell>
        </row>
        <row r="625">
          <cell r="B625" t="str">
            <v>Silo 09</v>
          </cell>
          <cell r="C625">
            <v>81548</v>
          </cell>
          <cell r="D625" t="str">
            <v>2014</v>
          </cell>
          <cell r="E625">
            <v>37.200000000000003</v>
          </cell>
          <cell r="F625">
            <v>165</v>
          </cell>
          <cell r="G625">
            <v>278</v>
          </cell>
          <cell r="H625">
            <v>40</v>
          </cell>
          <cell r="I625">
            <v>107</v>
          </cell>
          <cell r="J625">
            <v>313</v>
          </cell>
          <cell r="K625">
            <v>451</v>
          </cell>
          <cell r="L625">
            <v>6</v>
          </cell>
          <cell r="M625">
            <v>31.2</v>
          </cell>
          <cell r="N625">
            <v>6.4</v>
          </cell>
          <cell r="O625">
            <v>1.1000000000000001</v>
          </cell>
          <cell r="P625">
            <v>2.2000000000000002</v>
          </cell>
          <cell r="Q625">
            <v>0.15</v>
          </cell>
          <cell r="R625">
            <v>141</v>
          </cell>
          <cell r="S625">
            <v>10.57</v>
          </cell>
          <cell r="T625">
            <v>6.37</v>
          </cell>
          <cell r="U625">
            <v>2.86</v>
          </cell>
          <cell r="V625">
            <v>71</v>
          </cell>
          <cell r="W625">
            <v>3.84</v>
          </cell>
          <cell r="X625">
            <v>237</v>
          </cell>
          <cell r="Y625">
            <v>0</v>
          </cell>
        </row>
        <row r="626">
          <cell r="B626" t="str">
            <v>Silo 05</v>
          </cell>
          <cell r="C626">
            <v>81549</v>
          </cell>
          <cell r="D626" t="str">
            <v>2014</v>
          </cell>
          <cell r="E626">
            <v>36.799999999999997</v>
          </cell>
          <cell r="F626">
            <v>77</v>
          </cell>
          <cell r="G626">
            <v>171</v>
          </cell>
          <cell r="H626">
            <v>40</v>
          </cell>
          <cell r="I626">
            <v>29</v>
          </cell>
          <cell r="J626">
            <v>193</v>
          </cell>
          <cell r="K626">
            <v>360</v>
          </cell>
          <cell r="L626">
            <v>2.9</v>
          </cell>
          <cell r="M626">
            <v>9.5</v>
          </cell>
          <cell r="N626">
            <v>2.2000000000000002</v>
          </cell>
          <cell r="O626">
            <v>0.3</v>
          </cell>
          <cell r="P626">
            <v>1</v>
          </cell>
          <cell r="Q626">
            <v>0.25</v>
          </cell>
          <cell r="R626">
            <v>142</v>
          </cell>
          <cell r="S626">
            <v>11.97</v>
          </cell>
          <cell r="T626">
            <v>7.36</v>
          </cell>
          <cell r="U626">
            <v>1.59</v>
          </cell>
          <cell r="V626">
            <v>6</v>
          </cell>
          <cell r="W626">
            <v>-10.4</v>
          </cell>
          <cell r="X626">
            <v>494</v>
          </cell>
          <cell r="Y626">
            <v>0</v>
          </cell>
        </row>
        <row r="627">
          <cell r="B627" t="str">
            <v>RES</v>
          </cell>
          <cell r="C627">
            <v>81554</v>
          </cell>
          <cell r="D627" t="str">
            <v>2015</v>
          </cell>
          <cell r="E627">
            <v>88.6</v>
          </cell>
          <cell r="F627">
            <v>381</v>
          </cell>
          <cell r="G627">
            <v>144</v>
          </cell>
          <cell r="H627">
            <v>21</v>
          </cell>
          <cell r="I627">
            <v>75</v>
          </cell>
          <cell r="J627">
            <v>228</v>
          </cell>
          <cell r="K627">
            <v>286</v>
          </cell>
          <cell r="L627">
            <v>16.3</v>
          </cell>
          <cell r="M627">
            <v>14.7</v>
          </cell>
          <cell r="N627">
            <v>7.3</v>
          </cell>
          <cell r="O627">
            <v>0.6</v>
          </cell>
          <cell r="P627">
            <v>5.3</v>
          </cell>
          <cell r="Q627">
            <v>0.35</v>
          </cell>
          <cell r="R627">
            <v>252</v>
          </cell>
          <cell r="S627">
            <v>11.96</v>
          </cell>
          <cell r="T627">
            <v>7.3</v>
          </cell>
          <cell r="U627">
            <v>0.36</v>
          </cell>
          <cell r="W627">
            <v>20.64</v>
          </cell>
          <cell r="X627">
            <v>237</v>
          </cell>
          <cell r="Y627">
            <v>0</v>
          </cell>
        </row>
        <row r="628">
          <cell r="B628" t="str">
            <v>WGB 40/43/11/4/1,5/0,5</v>
          </cell>
          <cell r="C628">
            <v>81555</v>
          </cell>
          <cell r="D628" t="str">
            <v>2015</v>
          </cell>
          <cell r="E628">
            <v>89.5</v>
          </cell>
          <cell r="F628">
            <v>139</v>
          </cell>
          <cell r="G628">
            <v>57</v>
          </cell>
          <cell r="H628">
            <v>17</v>
          </cell>
          <cell r="I628">
            <v>92</v>
          </cell>
          <cell r="J628">
            <v>59</v>
          </cell>
          <cell r="K628">
            <v>145</v>
          </cell>
          <cell r="L628">
            <v>5.4</v>
          </cell>
          <cell r="M628">
            <v>7.2</v>
          </cell>
          <cell r="N628">
            <v>15.8</v>
          </cell>
          <cell r="O628">
            <v>6.5</v>
          </cell>
          <cell r="P628">
            <v>4.5</v>
          </cell>
          <cell r="Q628">
            <v>0.21</v>
          </cell>
          <cell r="R628">
            <v>162</v>
          </cell>
          <cell r="S628">
            <v>12.53</v>
          </cell>
          <cell r="T628">
            <v>7.98</v>
          </cell>
          <cell r="W628">
            <v>-3.68</v>
          </cell>
          <cell r="X628">
            <v>607</v>
          </cell>
          <cell r="Y628">
            <v>0</v>
          </cell>
        </row>
        <row r="629">
          <cell r="B629" t="str">
            <v>Stroh, Gerste</v>
          </cell>
          <cell r="C629">
            <v>81556</v>
          </cell>
          <cell r="D629" t="str">
            <v>2014</v>
          </cell>
          <cell r="E629">
            <v>91.1</v>
          </cell>
          <cell r="F629">
            <v>27</v>
          </cell>
          <cell r="G629">
            <v>488</v>
          </cell>
          <cell r="H629">
            <v>14</v>
          </cell>
          <cell r="I629">
            <v>33</v>
          </cell>
          <cell r="J629">
            <v>533</v>
          </cell>
          <cell r="K629">
            <v>809</v>
          </cell>
          <cell r="L629">
            <v>0.5</v>
          </cell>
          <cell r="M629">
            <v>11.1</v>
          </cell>
          <cell r="N629">
            <v>2.9</v>
          </cell>
          <cell r="O629">
            <v>0.3</v>
          </cell>
          <cell r="P629">
            <v>0.4</v>
          </cell>
          <cell r="Q629">
            <v>0.45</v>
          </cell>
          <cell r="R629">
            <v>75</v>
          </cell>
          <cell r="S629">
            <v>6.97</v>
          </cell>
          <cell r="T629">
            <v>3.85</v>
          </cell>
          <cell r="U629">
            <v>4.3</v>
          </cell>
          <cell r="W629">
            <v>-7.68</v>
          </cell>
          <cell r="X629">
            <v>117</v>
          </cell>
          <cell r="Y629">
            <v>0</v>
          </cell>
        </row>
        <row r="630">
          <cell r="B630" t="str">
            <v>KF Kalb "Haferflocken"</v>
          </cell>
          <cell r="C630">
            <v>81561</v>
          </cell>
          <cell r="D630" t="str">
            <v>2015</v>
          </cell>
          <cell r="E630">
            <v>88.4</v>
          </cell>
          <cell r="F630">
            <v>193</v>
          </cell>
          <cell r="G630">
            <v>58</v>
          </cell>
          <cell r="H630">
            <v>31</v>
          </cell>
          <cell r="I630">
            <v>70</v>
          </cell>
          <cell r="J630">
            <v>81</v>
          </cell>
          <cell r="K630">
            <v>119</v>
          </cell>
          <cell r="L630">
            <v>10</v>
          </cell>
          <cell r="M630">
            <v>8.9</v>
          </cell>
          <cell r="N630">
            <v>9.6</v>
          </cell>
          <cell r="O630">
            <v>3.1</v>
          </cell>
          <cell r="P630">
            <v>2.8</v>
          </cell>
          <cell r="Q630">
            <v>0.26</v>
          </cell>
          <cell r="R630">
            <v>185</v>
          </cell>
          <cell r="S630">
            <v>13.08</v>
          </cell>
          <cell r="T630">
            <v>8.3000000000000007</v>
          </cell>
          <cell r="W630">
            <v>1.28</v>
          </cell>
          <cell r="X630">
            <v>587</v>
          </cell>
          <cell r="Y630">
            <v>0</v>
          </cell>
        </row>
        <row r="631">
          <cell r="B631" t="str">
            <v>Silo 09</v>
          </cell>
          <cell r="C631">
            <v>81563</v>
          </cell>
          <cell r="D631" t="str">
            <v>2014</v>
          </cell>
          <cell r="E631">
            <v>36.200000000000003</v>
          </cell>
          <cell r="F631">
            <v>157</v>
          </cell>
          <cell r="G631">
            <v>259</v>
          </cell>
          <cell r="H631">
            <v>35</v>
          </cell>
          <cell r="I631">
            <v>108</v>
          </cell>
          <cell r="J631">
            <v>288</v>
          </cell>
          <cell r="K631">
            <v>419</v>
          </cell>
          <cell r="L631">
            <v>5.6</v>
          </cell>
          <cell r="M631">
            <v>30.7</v>
          </cell>
          <cell r="N631">
            <v>5.9</v>
          </cell>
          <cell r="O631">
            <v>1.1000000000000001</v>
          </cell>
          <cell r="P631">
            <v>2</v>
          </cell>
          <cell r="Q631">
            <v>0.15</v>
          </cell>
          <cell r="R631">
            <v>137</v>
          </cell>
          <cell r="S631">
            <v>10.36</v>
          </cell>
          <cell r="T631">
            <v>6.22</v>
          </cell>
          <cell r="U631">
            <v>2.6</v>
          </cell>
          <cell r="W631">
            <v>3.2</v>
          </cell>
          <cell r="X631">
            <v>281</v>
          </cell>
          <cell r="Y631">
            <v>0</v>
          </cell>
        </row>
        <row r="632">
          <cell r="B632" t="str">
            <v>RES</v>
          </cell>
          <cell r="C632">
            <v>81564</v>
          </cell>
          <cell r="D632" t="str">
            <v>2015</v>
          </cell>
          <cell r="E632">
            <v>88.2</v>
          </cell>
          <cell r="F632">
            <v>386</v>
          </cell>
          <cell r="G632">
            <v>141</v>
          </cell>
          <cell r="H632">
            <v>16</v>
          </cell>
          <cell r="I632">
            <v>75</v>
          </cell>
          <cell r="J632">
            <v>229</v>
          </cell>
          <cell r="K632">
            <v>285</v>
          </cell>
          <cell r="L632">
            <v>16.600000000000001</v>
          </cell>
          <cell r="M632">
            <v>13.9</v>
          </cell>
          <cell r="N632">
            <v>7.8</v>
          </cell>
          <cell r="O632">
            <v>0.6</v>
          </cell>
          <cell r="P632">
            <v>4.8</v>
          </cell>
          <cell r="Q632">
            <v>0.35</v>
          </cell>
          <cell r="R632">
            <v>253</v>
          </cell>
          <cell r="S632">
            <v>11.91</v>
          </cell>
          <cell r="T632">
            <v>7.27</v>
          </cell>
          <cell r="U632">
            <v>0.36</v>
          </cell>
          <cell r="W632">
            <v>21.28</v>
          </cell>
          <cell r="X632">
            <v>238</v>
          </cell>
          <cell r="Y632">
            <v>0</v>
          </cell>
        </row>
        <row r="633">
          <cell r="B633" t="str">
            <v>WGB 40/43/11/4/1,5/0,5</v>
          </cell>
          <cell r="C633">
            <v>81565</v>
          </cell>
          <cell r="D633" t="str">
            <v>2015</v>
          </cell>
          <cell r="E633">
            <v>89.5</v>
          </cell>
          <cell r="F633">
            <v>139</v>
          </cell>
          <cell r="G633">
            <v>49</v>
          </cell>
          <cell r="H633">
            <v>20</v>
          </cell>
          <cell r="I633">
            <v>90</v>
          </cell>
          <cell r="J633">
            <v>52</v>
          </cell>
          <cell r="K633">
            <v>132</v>
          </cell>
          <cell r="L633">
            <v>5.3</v>
          </cell>
          <cell r="M633">
            <v>7.2</v>
          </cell>
          <cell r="N633">
            <v>16</v>
          </cell>
          <cell r="O633">
            <v>5.0999999999999996</v>
          </cell>
          <cell r="P633">
            <v>3.6</v>
          </cell>
          <cell r="Q633">
            <v>0.21</v>
          </cell>
          <cell r="R633">
            <v>163</v>
          </cell>
          <cell r="S633">
            <v>12.65</v>
          </cell>
          <cell r="T633">
            <v>8.07</v>
          </cell>
          <cell r="W633">
            <v>-3.84</v>
          </cell>
          <cell r="X633">
            <v>619</v>
          </cell>
          <cell r="Y633">
            <v>0</v>
          </cell>
        </row>
        <row r="634">
          <cell r="B634" t="str">
            <v>Stroh, Gerste</v>
          </cell>
          <cell r="C634">
            <v>81566</v>
          </cell>
          <cell r="D634" t="str">
            <v>2014</v>
          </cell>
          <cell r="E634">
            <v>92.1</v>
          </cell>
          <cell r="F634">
            <v>24</v>
          </cell>
          <cell r="G634">
            <v>479</v>
          </cell>
          <cell r="H634">
            <v>16</v>
          </cell>
          <cell r="I634">
            <v>40</v>
          </cell>
          <cell r="J634">
            <v>542</v>
          </cell>
          <cell r="K634">
            <v>799</v>
          </cell>
          <cell r="L634">
            <v>0.5</v>
          </cell>
          <cell r="M634">
            <v>11.7</v>
          </cell>
          <cell r="N634">
            <v>2.7</v>
          </cell>
          <cell r="O634">
            <v>0.3</v>
          </cell>
          <cell r="P634">
            <v>0.5</v>
          </cell>
          <cell r="Q634">
            <v>0.45</v>
          </cell>
          <cell r="R634">
            <v>72</v>
          </cell>
          <cell r="S634">
            <v>6.93</v>
          </cell>
          <cell r="T634">
            <v>3.83</v>
          </cell>
          <cell r="U634">
            <v>4.3</v>
          </cell>
          <cell r="W634">
            <v>-7.68</v>
          </cell>
          <cell r="X634">
            <v>121</v>
          </cell>
          <cell r="Y634">
            <v>0</v>
          </cell>
        </row>
        <row r="635">
          <cell r="B635" t="str">
            <v>RES</v>
          </cell>
          <cell r="C635">
            <v>81567</v>
          </cell>
          <cell r="D635" t="str">
            <v>2015</v>
          </cell>
          <cell r="E635" t="str">
            <v>88.9</v>
          </cell>
          <cell r="F635">
            <v>379</v>
          </cell>
          <cell r="G635">
            <v>147</v>
          </cell>
          <cell r="H635">
            <v>23</v>
          </cell>
          <cell r="I635">
            <v>74</v>
          </cell>
          <cell r="J635">
            <v>225</v>
          </cell>
          <cell r="K635">
            <v>282</v>
          </cell>
          <cell r="L635">
            <v>15.5</v>
          </cell>
          <cell r="M635">
            <v>14.4</v>
          </cell>
          <cell r="N635">
            <v>7.4</v>
          </cell>
          <cell r="O635">
            <v>0.3</v>
          </cell>
          <cell r="P635">
            <v>4.7</v>
          </cell>
          <cell r="Q635">
            <v>0.35</v>
          </cell>
          <cell r="R635">
            <v>251</v>
          </cell>
          <cell r="S635">
            <v>11.99</v>
          </cell>
          <cell r="T635">
            <v>7.32</v>
          </cell>
          <cell r="W635">
            <v>20.48</v>
          </cell>
          <cell r="X635">
            <v>242</v>
          </cell>
          <cell r="Y635">
            <v>0</v>
          </cell>
        </row>
        <row r="636">
          <cell r="B636" t="str">
            <v>RB Gärheu</v>
          </cell>
          <cell r="C636">
            <v>81572</v>
          </cell>
          <cell r="D636" t="str">
            <v>2014</v>
          </cell>
          <cell r="E636">
            <v>71.5</v>
          </cell>
          <cell r="F636">
            <v>160</v>
          </cell>
          <cell r="G636">
            <v>314</v>
          </cell>
          <cell r="H636">
            <v>19</v>
          </cell>
          <cell r="I636">
            <v>84</v>
          </cell>
          <cell r="J636">
            <v>345</v>
          </cell>
          <cell r="K636">
            <v>513</v>
          </cell>
          <cell r="L636">
            <v>3.2</v>
          </cell>
          <cell r="M636">
            <v>16</v>
          </cell>
          <cell r="N636">
            <v>7.4</v>
          </cell>
          <cell r="O636">
            <v>3.7</v>
          </cell>
          <cell r="P636">
            <v>2.7</v>
          </cell>
          <cell r="Q636">
            <v>0.25</v>
          </cell>
          <cell r="R636">
            <v>128</v>
          </cell>
          <cell r="S636">
            <v>8.4600000000000009</v>
          </cell>
          <cell r="T636">
            <v>4.87</v>
          </cell>
          <cell r="U636">
            <v>3.23</v>
          </cell>
          <cell r="W636">
            <v>5.12</v>
          </cell>
          <cell r="X636">
            <v>224</v>
          </cell>
          <cell r="Y636">
            <v>0</v>
          </cell>
        </row>
        <row r="637">
          <cell r="B637" t="str">
            <v>Silo 04</v>
          </cell>
          <cell r="C637">
            <v>81577</v>
          </cell>
          <cell r="D637" t="str">
            <v>2014</v>
          </cell>
          <cell r="E637">
            <v>33.799999999999997</v>
          </cell>
          <cell r="F637">
            <v>167</v>
          </cell>
          <cell r="G637">
            <v>269</v>
          </cell>
          <cell r="H637">
            <v>36</v>
          </cell>
          <cell r="I637">
            <v>123</v>
          </cell>
          <cell r="J637">
            <v>302</v>
          </cell>
          <cell r="K637">
            <v>458</v>
          </cell>
          <cell r="L637">
            <v>6</v>
          </cell>
          <cell r="M637">
            <v>28.2</v>
          </cell>
          <cell r="N637">
            <v>6.9</v>
          </cell>
          <cell r="O637">
            <v>1.6</v>
          </cell>
          <cell r="P637">
            <v>2.6</v>
          </cell>
          <cell r="Q637">
            <v>0.15</v>
          </cell>
          <cell r="R637">
            <v>130</v>
          </cell>
          <cell r="S637">
            <v>9.5399999999999991</v>
          </cell>
          <cell r="T637">
            <v>5.65</v>
          </cell>
          <cell r="U637">
            <v>2.9</v>
          </cell>
          <cell r="V637">
            <v>8</v>
          </cell>
          <cell r="W637">
            <v>5.92</v>
          </cell>
          <cell r="X637">
            <v>216</v>
          </cell>
          <cell r="Y637">
            <v>0</v>
          </cell>
        </row>
        <row r="638">
          <cell r="B638" t="str">
            <v>RES</v>
          </cell>
          <cell r="C638">
            <v>81579</v>
          </cell>
          <cell r="D638" t="str">
            <v>2015</v>
          </cell>
          <cell r="E638">
            <v>88.6</v>
          </cell>
          <cell r="F638">
            <v>377</v>
          </cell>
          <cell r="G638">
            <v>140</v>
          </cell>
          <cell r="H638">
            <v>13</v>
          </cell>
          <cell r="I638">
            <v>74</v>
          </cell>
          <cell r="J638">
            <v>224</v>
          </cell>
          <cell r="K638">
            <v>278</v>
          </cell>
          <cell r="L638">
            <v>15.7</v>
          </cell>
          <cell r="M638">
            <v>14.1</v>
          </cell>
          <cell r="N638">
            <v>8</v>
          </cell>
          <cell r="O638">
            <v>0.7</v>
          </cell>
          <cell r="P638">
            <v>4.9000000000000004</v>
          </cell>
          <cell r="Q638">
            <v>0.35</v>
          </cell>
          <cell r="R638">
            <v>249</v>
          </cell>
          <cell r="S638">
            <v>11.85</v>
          </cell>
          <cell r="T638">
            <v>7.24</v>
          </cell>
          <cell r="V638">
            <v>80</v>
          </cell>
          <cell r="W638">
            <v>20.48</v>
          </cell>
          <cell r="X638">
            <v>258</v>
          </cell>
          <cell r="Y638">
            <v>0</v>
          </cell>
        </row>
        <row r="639">
          <cell r="B639" t="str">
            <v>WGB 40/43/11/4/1,5/0,5</v>
          </cell>
          <cell r="C639">
            <v>81580</v>
          </cell>
          <cell r="D639" t="str">
            <v>2015</v>
          </cell>
          <cell r="E639">
            <v>89.3</v>
          </cell>
          <cell r="F639">
            <v>144</v>
          </cell>
          <cell r="G639">
            <v>45</v>
          </cell>
          <cell r="H639">
            <v>19</v>
          </cell>
          <cell r="I639">
            <v>62</v>
          </cell>
          <cell r="J639">
            <v>52</v>
          </cell>
          <cell r="K639">
            <v>151</v>
          </cell>
          <cell r="L639">
            <v>5.5</v>
          </cell>
          <cell r="M639">
            <v>6.9</v>
          </cell>
          <cell r="N639">
            <v>11</v>
          </cell>
          <cell r="O639">
            <v>3.4</v>
          </cell>
          <cell r="P639">
            <v>2.7</v>
          </cell>
          <cell r="Q639">
            <v>0.21</v>
          </cell>
          <cell r="R639">
            <v>171</v>
          </cell>
          <cell r="S639">
            <v>13.27</v>
          </cell>
          <cell r="T639">
            <v>8.51</v>
          </cell>
          <cell r="W639">
            <v>-4.32</v>
          </cell>
          <cell r="X639">
            <v>624</v>
          </cell>
          <cell r="Y639">
            <v>0</v>
          </cell>
        </row>
        <row r="640">
          <cell r="B640" t="str">
            <v>Stroh, Gerste</v>
          </cell>
          <cell r="C640">
            <v>81581</v>
          </cell>
          <cell r="D640" t="str">
            <v>2014</v>
          </cell>
          <cell r="E640">
            <v>92.5</v>
          </cell>
          <cell r="F640">
            <v>37</v>
          </cell>
          <cell r="G640">
            <v>469</v>
          </cell>
          <cell r="H640">
            <v>18</v>
          </cell>
          <cell r="I640">
            <v>31</v>
          </cell>
          <cell r="J640">
            <v>517</v>
          </cell>
          <cell r="K640">
            <v>783</v>
          </cell>
          <cell r="L640">
            <v>0.6</v>
          </cell>
          <cell r="M640">
            <v>6.5</v>
          </cell>
          <cell r="N640">
            <v>3.2</v>
          </cell>
          <cell r="O640">
            <v>0.6</v>
          </cell>
          <cell r="P640">
            <v>0.6</v>
          </cell>
          <cell r="Q640">
            <v>0.45</v>
          </cell>
          <cell r="R640">
            <v>80</v>
          </cell>
          <cell r="S640">
            <v>7.05</v>
          </cell>
          <cell r="T640">
            <v>3.9</v>
          </cell>
          <cell r="V640">
            <v>7</v>
          </cell>
          <cell r="W640">
            <v>-6.88</v>
          </cell>
          <cell r="X640">
            <v>131</v>
          </cell>
          <cell r="Y640">
            <v>0</v>
          </cell>
        </row>
        <row r="641">
          <cell r="B641" t="str">
            <v>Silo 12</v>
          </cell>
          <cell r="C641">
            <v>81578</v>
          </cell>
          <cell r="D641" t="str">
            <v>2014</v>
          </cell>
          <cell r="E641">
            <v>40.200000000000003</v>
          </cell>
          <cell r="F641">
            <v>77</v>
          </cell>
          <cell r="G641">
            <v>164</v>
          </cell>
          <cell r="H641">
            <v>43</v>
          </cell>
          <cell r="I641">
            <v>31</v>
          </cell>
          <cell r="J641">
            <v>180</v>
          </cell>
          <cell r="K641">
            <v>333</v>
          </cell>
          <cell r="L641">
            <v>4.4000000000000004</v>
          </cell>
          <cell r="M641">
            <v>9</v>
          </cell>
          <cell r="N641">
            <v>2.2000000000000002</v>
          </cell>
          <cell r="O641">
            <v>0.2</v>
          </cell>
          <cell r="P641">
            <v>1</v>
          </cell>
          <cell r="Q641">
            <v>0.25</v>
          </cell>
          <cell r="S641">
            <v>0</v>
          </cell>
          <cell r="U641">
            <v>1.4</v>
          </cell>
          <cell r="V641">
            <v>7</v>
          </cell>
          <cell r="W641">
            <v>12.32</v>
          </cell>
          <cell r="X641">
            <v>516</v>
          </cell>
          <cell r="Y641">
            <v>0</v>
          </cell>
        </row>
      </sheetData>
      <sheetData sheetId="1"/>
      <sheetData sheetId="2"/>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png"/></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80.xml"/><Relationship Id="rId13" Type="http://schemas.openxmlformats.org/officeDocument/2006/relationships/ctrlProp" Target="../ctrlProps/ctrlProp85.xml"/><Relationship Id="rId18" Type="http://schemas.openxmlformats.org/officeDocument/2006/relationships/ctrlProp" Target="../ctrlProps/ctrlProp90.xml"/><Relationship Id="rId26" Type="http://schemas.openxmlformats.org/officeDocument/2006/relationships/comments" Target="../comments4.xml"/><Relationship Id="rId3" Type="http://schemas.openxmlformats.org/officeDocument/2006/relationships/printerSettings" Target="../printerSettings/printerSettings24.bin"/><Relationship Id="rId21" Type="http://schemas.openxmlformats.org/officeDocument/2006/relationships/ctrlProp" Target="../ctrlProps/ctrlProp93.xml"/><Relationship Id="rId7" Type="http://schemas.openxmlformats.org/officeDocument/2006/relationships/ctrlProp" Target="../ctrlProps/ctrlProp79.xml"/><Relationship Id="rId12" Type="http://schemas.openxmlformats.org/officeDocument/2006/relationships/ctrlProp" Target="../ctrlProps/ctrlProp84.xml"/><Relationship Id="rId17" Type="http://schemas.openxmlformats.org/officeDocument/2006/relationships/ctrlProp" Target="../ctrlProps/ctrlProp89.xml"/><Relationship Id="rId25" Type="http://schemas.openxmlformats.org/officeDocument/2006/relationships/ctrlProp" Target="../ctrlProps/ctrlProp97.xml"/><Relationship Id="rId2" Type="http://schemas.openxmlformats.org/officeDocument/2006/relationships/printerSettings" Target="../printerSettings/printerSettings23.bin"/><Relationship Id="rId16" Type="http://schemas.openxmlformats.org/officeDocument/2006/relationships/ctrlProp" Target="../ctrlProps/ctrlProp88.xml"/><Relationship Id="rId20" Type="http://schemas.openxmlformats.org/officeDocument/2006/relationships/ctrlProp" Target="../ctrlProps/ctrlProp92.xml"/><Relationship Id="rId1" Type="http://schemas.openxmlformats.org/officeDocument/2006/relationships/printerSettings" Target="../printerSettings/printerSettings22.bin"/><Relationship Id="rId6" Type="http://schemas.openxmlformats.org/officeDocument/2006/relationships/ctrlProp" Target="../ctrlProps/ctrlProp78.xml"/><Relationship Id="rId11" Type="http://schemas.openxmlformats.org/officeDocument/2006/relationships/ctrlProp" Target="../ctrlProps/ctrlProp83.xml"/><Relationship Id="rId24" Type="http://schemas.openxmlformats.org/officeDocument/2006/relationships/ctrlProp" Target="../ctrlProps/ctrlProp96.xml"/><Relationship Id="rId5" Type="http://schemas.openxmlformats.org/officeDocument/2006/relationships/vmlDrawing" Target="../drawings/vmlDrawing8.vml"/><Relationship Id="rId15" Type="http://schemas.openxmlformats.org/officeDocument/2006/relationships/ctrlProp" Target="../ctrlProps/ctrlProp87.xml"/><Relationship Id="rId23" Type="http://schemas.openxmlformats.org/officeDocument/2006/relationships/ctrlProp" Target="../ctrlProps/ctrlProp95.xml"/><Relationship Id="rId10" Type="http://schemas.openxmlformats.org/officeDocument/2006/relationships/ctrlProp" Target="../ctrlProps/ctrlProp82.xml"/><Relationship Id="rId19" Type="http://schemas.openxmlformats.org/officeDocument/2006/relationships/ctrlProp" Target="../ctrlProps/ctrlProp91.xml"/><Relationship Id="rId4" Type="http://schemas.openxmlformats.org/officeDocument/2006/relationships/drawing" Target="../drawings/drawing10.xml"/><Relationship Id="rId9" Type="http://schemas.openxmlformats.org/officeDocument/2006/relationships/ctrlProp" Target="../ctrlProps/ctrlProp81.xml"/><Relationship Id="rId14" Type="http://schemas.openxmlformats.org/officeDocument/2006/relationships/ctrlProp" Target="../ctrlProps/ctrlProp86.xml"/><Relationship Id="rId22" Type="http://schemas.openxmlformats.org/officeDocument/2006/relationships/ctrlProp" Target="../ctrlProps/ctrlProp94.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9.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printerSettings" Target="../printerSettings/printerSettings8.bin"/><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printerSettings" Target="../printerSettings/printerSettings7.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3.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4.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printerSettings" Target="../printerSettings/printerSettings12.bin"/><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printerSettings" Target="../printerSettings/printerSettings11.bin"/><Relationship Id="rId16" Type="http://schemas.openxmlformats.org/officeDocument/2006/relationships/ctrlProp" Target="../ctrlProps/ctrlProp29.xml"/><Relationship Id="rId20" Type="http://schemas.openxmlformats.org/officeDocument/2006/relationships/ctrlProp" Target="../ctrlProps/ctrlProp33.xml"/><Relationship Id="rId29" Type="http://schemas.openxmlformats.org/officeDocument/2006/relationships/ctrlProp" Target="../ctrlProps/ctrlProp42.xml"/><Relationship Id="rId1" Type="http://schemas.openxmlformats.org/officeDocument/2006/relationships/printerSettings" Target="../printerSettings/printerSettings10.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vmlDrawing" Target="../drawings/vmlDrawing4.v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31" Type="http://schemas.openxmlformats.org/officeDocument/2006/relationships/comments" Target="../comments2.xml"/><Relationship Id="rId4" Type="http://schemas.openxmlformats.org/officeDocument/2006/relationships/drawing" Target="../drawings/drawing5.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 Id="rId30" Type="http://schemas.openxmlformats.org/officeDocument/2006/relationships/ctrlProp" Target="../ctrlProps/ctrlProp4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comments" Target="../comments3.xml"/><Relationship Id="rId5" Type="http://schemas.openxmlformats.org/officeDocument/2006/relationships/vmlDrawing" Target="../drawings/vmlDrawing5.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6.xml"/><Relationship Id="rId3" Type="http://schemas.openxmlformats.org/officeDocument/2006/relationships/printerSettings" Target="../printerSettings/printerSettings18.bin"/><Relationship Id="rId7" Type="http://schemas.openxmlformats.org/officeDocument/2006/relationships/ctrlProp" Target="../ctrlProps/ctrlProp45.xml"/><Relationship Id="rId12" Type="http://schemas.openxmlformats.org/officeDocument/2006/relationships/ctrlProp" Target="../ctrlProps/ctrlProp50.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vmlDrawing" Target="../drawings/vmlDrawing6.vml"/><Relationship Id="rId10" Type="http://schemas.openxmlformats.org/officeDocument/2006/relationships/ctrlProp" Target="../ctrlProps/ctrlProp48.xml"/><Relationship Id="rId4" Type="http://schemas.openxmlformats.org/officeDocument/2006/relationships/drawing" Target="../drawings/drawing7.xml"/><Relationship Id="rId9" Type="http://schemas.openxmlformats.org/officeDocument/2006/relationships/ctrlProp" Target="../ctrlProps/ctrlProp47.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 Type="http://schemas.openxmlformats.org/officeDocument/2006/relationships/printerSettings" Target="../printerSettings/printerSettings21.bin"/><Relationship Id="rId21" Type="http://schemas.openxmlformats.org/officeDocument/2006/relationships/ctrlProp" Target="../ctrlProps/ctrlProp66.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2" Type="http://schemas.openxmlformats.org/officeDocument/2006/relationships/printerSettings" Target="../printerSettings/printerSettings20.bin"/><Relationship Id="rId16" Type="http://schemas.openxmlformats.org/officeDocument/2006/relationships/ctrlProp" Target="../ctrlProps/ctrlProp61.xml"/><Relationship Id="rId20" Type="http://schemas.openxmlformats.org/officeDocument/2006/relationships/ctrlProp" Target="../ctrlProps/ctrlProp65.xml"/><Relationship Id="rId29" Type="http://schemas.openxmlformats.org/officeDocument/2006/relationships/ctrlProp" Target="../ctrlProps/ctrlProp74.xml"/><Relationship Id="rId1" Type="http://schemas.openxmlformats.org/officeDocument/2006/relationships/printerSettings" Target="../printerSettings/printerSettings19.bin"/><Relationship Id="rId6" Type="http://schemas.openxmlformats.org/officeDocument/2006/relationships/ctrlProp" Target="../ctrlProps/ctrlProp51.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5" Type="http://schemas.openxmlformats.org/officeDocument/2006/relationships/vmlDrawing" Target="../drawings/vmlDrawing7.v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 Type="http://schemas.openxmlformats.org/officeDocument/2006/relationships/drawing" Target="../drawings/drawing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2">
    <tabColor rgb="FFC00000"/>
  </sheetPr>
  <dimension ref="A2:B26"/>
  <sheetViews>
    <sheetView showGridLines="0" showRowColHeaders="0" topLeftCell="B2" workbookViewId="0">
      <selection activeCell="B7" sqref="B7"/>
    </sheetView>
  </sheetViews>
  <sheetFormatPr baseColWidth="10" defaultColWidth="0" defaultRowHeight="12.75" zeroHeight="1" x14ac:dyDescent="0.2"/>
  <cols>
    <col min="1" max="1" width="11.42578125" style="219" customWidth="1"/>
    <col min="2" max="2" width="234.7109375" style="246" customWidth="1"/>
    <col min="3" max="16384" width="11.42578125" style="219" hidden="1"/>
  </cols>
  <sheetData>
    <row r="2" spans="2:2" x14ac:dyDescent="0.2"/>
    <row r="3" spans="2:2" x14ac:dyDescent="0.2"/>
    <row r="4" spans="2:2" ht="59.25" x14ac:dyDescent="0.2">
      <c r="B4" s="245" t="s">
        <v>563</v>
      </c>
    </row>
    <row r="5" spans="2:2" ht="285" customHeight="1" x14ac:dyDescent="0.2"/>
    <row r="6" spans="2:2" ht="57.75" customHeight="1" x14ac:dyDescent="0.2">
      <c r="B6" s="247" t="s">
        <v>369</v>
      </c>
    </row>
    <row r="7" spans="2:2" ht="23.25" x14ac:dyDescent="0.2">
      <c r="B7" s="247" t="s">
        <v>370</v>
      </c>
    </row>
    <row r="8" spans="2:2" ht="23.25" x14ac:dyDescent="0.2">
      <c r="B8" s="247" t="s">
        <v>371</v>
      </c>
    </row>
    <row r="9" spans="2:2" ht="18" x14ac:dyDescent="0.2">
      <c r="B9" s="248"/>
    </row>
    <row r="10" spans="2:2" x14ac:dyDescent="0.2"/>
    <row r="11" spans="2:2" x14ac:dyDescent="0.2"/>
    <row r="12" spans="2:2" x14ac:dyDescent="0.2"/>
    <row r="13" spans="2:2" x14ac:dyDescent="0.2"/>
    <row r="14" spans="2:2" x14ac:dyDescent="0.2"/>
    <row r="15" spans="2:2" x14ac:dyDescent="0.2"/>
    <row r="16" spans="2:2" x14ac:dyDescent="0.2"/>
    <row r="17" x14ac:dyDescent="0.2"/>
    <row r="18" x14ac:dyDescent="0.2"/>
    <row r="19" x14ac:dyDescent="0.2"/>
    <row r="20" x14ac:dyDescent="0.2"/>
    <row r="21" x14ac:dyDescent="0.2"/>
    <row r="22" x14ac:dyDescent="0.2"/>
    <row r="23" x14ac:dyDescent="0.2"/>
    <row r="24" x14ac:dyDescent="0.2"/>
    <row r="25" x14ac:dyDescent="0.2"/>
    <row r="26" x14ac:dyDescent="0.2"/>
  </sheetData>
  <sheetProtection algorithmName="SHA-512" hashValue="51/TVuyXWV413j7F4XhCBNlqBUn/Yy/ryYUQUXQBmZG9iTaBV6Mqp2STpWLjZxOJVA8JBIquCn28D39Two47ww==" saltValue="iABClGBnB9GVFX7Z4O9Cjg==" spinCount="100000" sheet="1" objects="1" scenarios="1"/>
  <customSheetViews>
    <customSheetView guid="{2DEE39A3-88C5-4D7F-AEB9-0B43FD431165}" showGridLines="0" showRowCol="0" hiddenRows="1" hiddenColumns="1" topLeftCell="B2">
      <selection activeCell="B2" sqref="B2"/>
      <pageMargins left="0.7" right="0.7" top="0.78740157499999996" bottom="0.78740157499999996" header="0.3" footer="0.3"/>
    </customSheetView>
    <customSheetView guid="{117F828A-4542-4D18-9CDB-B606529AAD66}" showGridLines="0" showRowCol="0" hiddenRows="1" hiddenColumns="1" topLeftCell="B2">
      <selection activeCell="B1" sqref="A1:XFD1"/>
      <pageMargins left="0.7" right="0.7" top="0.78740157499999996" bottom="0.78740157499999996" header="0.3" footer="0.3"/>
    </customSheetView>
  </customSheetViews>
  <pageMargins left="0.7" right="0.7" top="0.78740157499999996" bottom="0.78740157499999996" header="0.3" footer="0.3"/>
  <drawing r:id="rId1"/>
  <legacyDrawing r:id="rId2"/>
  <oleObjects>
    <mc:AlternateContent xmlns:mc="http://schemas.openxmlformats.org/markup-compatibility/2006">
      <mc:Choice Requires="x14">
        <oleObject progId="CorelPhotoPaint.Image.8" shapeId="23567" r:id="rId3">
          <objectPr defaultSize="0" autoPict="0" r:id="rId4">
            <anchor moveWithCells="1" sizeWithCells="1">
              <from>
                <xdr:col>1</xdr:col>
                <xdr:colOff>6057900</xdr:colOff>
                <xdr:row>4</xdr:row>
                <xdr:rowOff>1323975</xdr:rowOff>
              </from>
              <to>
                <xdr:col>1</xdr:col>
                <xdr:colOff>8220075</xdr:colOff>
                <xdr:row>4</xdr:row>
                <xdr:rowOff>2971800</xdr:rowOff>
              </to>
            </anchor>
          </objectPr>
        </oleObject>
      </mc:Choice>
      <mc:Fallback>
        <oleObject progId="CorelPhotoPaint.Image.8" shapeId="23567" r:id="rId3"/>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tabColor rgb="FF00B0F0"/>
    <pageSetUpPr fitToPage="1"/>
  </sheetPr>
  <dimension ref="A1:CR135"/>
  <sheetViews>
    <sheetView zoomScale="90" zoomScaleNormal="90" workbookViewId="0">
      <selection activeCell="U20" sqref="U20"/>
    </sheetView>
  </sheetViews>
  <sheetFormatPr baseColWidth="10" defaultColWidth="0" defaultRowHeight="12" x14ac:dyDescent="0.2"/>
  <cols>
    <col min="1" max="1" width="1.85546875" style="89" customWidth="1"/>
    <col min="2" max="2" width="6.5703125" style="136" customWidth="1"/>
    <col min="3" max="3" width="6.7109375" style="166" hidden="1" customWidth="1"/>
    <col min="4" max="4" width="14.42578125" style="136" customWidth="1"/>
    <col min="5" max="5" width="10.7109375" style="136" customWidth="1"/>
    <col min="6" max="6" width="14.7109375" style="136" customWidth="1"/>
    <col min="7" max="10" width="8.5703125" style="136" customWidth="1"/>
    <col min="11" max="11" width="8.42578125" style="136" customWidth="1"/>
    <col min="12" max="12" width="10.140625" style="136" customWidth="1"/>
    <col min="13" max="17" width="8.5703125" style="136" customWidth="1"/>
    <col min="18" max="18" width="7.85546875" style="136" customWidth="1"/>
    <col min="19" max="19" width="7" style="136" customWidth="1"/>
    <col min="20" max="20" width="7.42578125" style="136" bestFit="1" customWidth="1"/>
    <col min="21" max="25" width="9.140625" style="136" customWidth="1"/>
    <col min="26" max="26" width="10.42578125" style="136" customWidth="1"/>
    <col min="27" max="31" width="9.140625" style="136" customWidth="1"/>
    <col min="32" max="32" width="6.85546875" style="136" bestFit="1" customWidth="1"/>
    <col min="33" max="33" width="6.85546875" style="136" customWidth="1"/>
    <col min="34" max="34" width="1.28515625" style="136" customWidth="1"/>
    <col min="35" max="35" width="7.85546875" style="136" hidden="1" customWidth="1"/>
    <col min="36" max="36" width="8.5703125" style="136" hidden="1" customWidth="1"/>
    <col min="37" max="37" width="6.7109375" style="136" hidden="1" customWidth="1"/>
    <col min="38" max="38" width="14.42578125" style="136" hidden="1" customWidth="1"/>
    <col min="39" max="44" width="12" style="136" hidden="1" customWidth="1"/>
    <col min="45" max="45" width="8.5703125" style="136" hidden="1" customWidth="1"/>
    <col min="46" max="46" width="12" style="136" hidden="1" customWidth="1"/>
    <col min="47" max="47" width="4.42578125" style="136" hidden="1" customWidth="1"/>
    <col min="48" max="48" width="5" style="136" hidden="1" customWidth="1"/>
    <col min="49" max="50" width="5.42578125" style="136" hidden="1" customWidth="1"/>
    <col min="51" max="64" width="6" style="136" hidden="1" customWidth="1"/>
    <col min="65" max="65" width="4" style="136" hidden="1" customWidth="1"/>
    <col min="66" max="72" width="5.42578125" style="136" hidden="1" customWidth="1"/>
    <col min="73" max="73" width="6.5703125" style="136" hidden="1" customWidth="1"/>
    <col min="74" max="78" width="5.42578125" style="136" hidden="1" customWidth="1"/>
    <col min="79" max="80" width="12" style="136" hidden="1" customWidth="1"/>
    <col min="81" max="82" width="11.42578125" style="136" hidden="1" customWidth="1"/>
    <col min="83" max="91" width="11.42578125" style="89" hidden="1" customWidth="1"/>
    <col min="92" max="16384" width="11.42578125" style="136" hidden="1"/>
  </cols>
  <sheetData>
    <row r="1" spans="1:96" s="818" customFormat="1" ht="16.5" thickTop="1" x14ac:dyDescent="0.25">
      <c r="A1" s="1108" t="str">
        <f>IF(G4=1, "Rationsberechnung für die Bullenmast","Rationsberechnung für die Rinderaufzucht")</f>
        <v>Rationsberechnung für die Bullenmast</v>
      </c>
      <c r="B1" s="803"/>
      <c r="C1" s="803"/>
      <c r="D1" s="803"/>
      <c r="E1" s="1109"/>
      <c r="F1" s="803"/>
      <c r="G1" s="803"/>
      <c r="H1" s="803"/>
      <c r="I1" s="803"/>
      <c r="J1" s="803"/>
      <c r="K1" s="803"/>
      <c r="L1" s="803"/>
      <c r="M1" s="803"/>
      <c r="N1" s="803"/>
      <c r="O1" s="803"/>
      <c r="P1" s="803"/>
      <c r="Q1" s="803"/>
      <c r="R1" s="803"/>
      <c r="S1" s="803"/>
      <c r="T1" s="803"/>
      <c r="U1" s="803"/>
      <c r="V1" s="803"/>
      <c r="W1" s="803"/>
      <c r="X1" s="803"/>
      <c r="Y1" s="803"/>
      <c r="Z1" s="803"/>
      <c r="AA1" s="803"/>
      <c r="AB1" s="803"/>
      <c r="AC1" s="803"/>
      <c r="AD1" s="803"/>
      <c r="AE1" s="803"/>
      <c r="AF1" s="803"/>
      <c r="AG1" s="803"/>
      <c r="AH1" s="1110"/>
    </row>
    <row r="2" spans="1:96" s="818" customFormat="1" ht="12.75" thickBot="1" x14ac:dyDescent="0.25">
      <c r="A2" s="1111"/>
      <c r="AH2" s="1112"/>
    </row>
    <row r="3" spans="1:96" s="1113" customFormat="1" ht="18.75" customHeight="1" x14ac:dyDescent="0.2">
      <c r="A3" s="1111"/>
      <c r="B3" s="1404" t="s">
        <v>144</v>
      </c>
      <c r="D3" s="1114"/>
      <c r="E3" s="1115"/>
      <c r="F3" s="818"/>
      <c r="G3" s="1313">
        <v>1</v>
      </c>
      <c r="H3" s="1116" t="s">
        <v>229</v>
      </c>
      <c r="I3" s="1117"/>
      <c r="J3" s="818"/>
      <c r="K3" s="1315"/>
      <c r="L3" s="1118" t="s">
        <v>232</v>
      </c>
      <c r="M3" s="1116"/>
      <c r="N3" s="1117"/>
      <c r="O3" s="818"/>
      <c r="P3" s="818"/>
      <c r="Q3" s="818"/>
      <c r="R3" s="1119" t="s">
        <v>236</v>
      </c>
      <c r="S3" s="1120"/>
      <c r="T3" s="1121"/>
      <c r="U3" s="138">
        <v>350</v>
      </c>
      <c r="V3" s="1122"/>
      <c r="W3" s="818"/>
      <c r="X3" s="818"/>
      <c r="Y3" s="818"/>
      <c r="Z3" s="818"/>
      <c r="AA3" s="818"/>
      <c r="AB3" s="818"/>
      <c r="AC3" s="818"/>
      <c r="AD3" s="818"/>
      <c r="AE3" s="818"/>
      <c r="AF3" s="818"/>
      <c r="AG3" s="818"/>
      <c r="AH3" s="1112"/>
      <c r="AI3" s="818"/>
      <c r="AJ3" s="818"/>
      <c r="AK3" s="818"/>
      <c r="AL3" s="818" t="s">
        <v>247</v>
      </c>
      <c r="AM3" s="818"/>
      <c r="AN3" s="818"/>
      <c r="AO3" s="818"/>
      <c r="AP3" s="818"/>
      <c r="AQ3" s="818"/>
      <c r="AR3" s="818"/>
      <c r="AS3" s="818"/>
      <c r="AT3" s="818"/>
      <c r="AU3" s="818"/>
      <c r="AV3" s="818"/>
      <c r="AW3" s="818"/>
      <c r="AX3" s="818"/>
      <c r="AY3" s="818"/>
      <c r="AZ3" s="818"/>
      <c r="BA3" s="818"/>
      <c r="BB3" s="818"/>
      <c r="BC3" s="818"/>
      <c r="BD3" s="818"/>
      <c r="BE3" s="818"/>
      <c r="BF3" s="818"/>
      <c r="BG3" s="818"/>
      <c r="BH3" s="818"/>
      <c r="BI3" s="818"/>
      <c r="BJ3" s="818"/>
      <c r="BK3" s="818"/>
      <c r="BL3" s="818"/>
      <c r="BM3" s="818"/>
      <c r="BN3" s="818"/>
      <c r="BO3" s="818"/>
      <c r="BP3" s="818"/>
      <c r="BQ3" s="818"/>
      <c r="BR3" s="818"/>
      <c r="BS3" s="818"/>
      <c r="BT3" s="818"/>
      <c r="BU3" s="818"/>
      <c r="BV3" s="818"/>
      <c r="BW3" s="818"/>
      <c r="BX3" s="818"/>
      <c r="BY3" s="818"/>
      <c r="BZ3" s="818"/>
      <c r="CA3" s="818"/>
      <c r="CB3" s="818"/>
      <c r="CC3" s="818"/>
      <c r="CD3" s="818"/>
      <c r="CE3" s="818"/>
      <c r="CF3" s="818"/>
      <c r="CG3" s="818"/>
      <c r="CH3" s="818"/>
      <c r="CI3" s="818"/>
      <c r="CJ3" s="818"/>
      <c r="CK3" s="818"/>
      <c r="CL3" s="818"/>
      <c r="CM3" s="818"/>
      <c r="CN3" s="818"/>
      <c r="CO3" s="818"/>
      <c r="CP3" s="818"/>
      <c r="CQ3" s="818"/>
      <c r="CR3" s="818"/>
    </row>
    <row r="4" spans="1:96" s="1124" customFormat="1" ht="18.75" customHeight="1" x14ac:dyDescent="0.2">
      <c r="A4" s="1123"/>
      <c r="B4" s="168">
        <v>1</v>
      </c>
      <c r="D4" s="1125" t="s">
        <v>142</v>
      </c>
      <c r="E4" s="1126"/>
      <c r="F4" s="1127"/>
      <c r="G4" s="169">
        <v>1</v>
      </c>
      <c r="H4" s="1128"/>
      <c r="I4" s="1129"/>
      <c r="J4" s="1127"/>
      <c r="K4" s="169">
        <v>3</v>
      </c>
      <c r="L4" s="1130" t="s">
        <v>231</v>
      </c>
      <c r="M4" s="1128"/>
      <c r="N4" s="1129"/>
      <c r="O4" s="1127"/>
      <c r="P4" s="1127"/>
      <c r="Q4" s="1127"/>
      <c r="R4" s="1131" t="s">
        <v>296</v>
      </c>
      <c r="S4" s="1132"/>
      <c r="T4" s="1128"/>
      <c r="U4" s="1317">
        <v>700</v>
      </c>
      <c r="V4" s="1133"/>
      <c r="W4" s="1127"/>
      <c r="X4" s="1127"/>
      <c r="Y4" s="1127"/>
      <c r="Z4" s="1127"/>
      <c r="AA4" s="1127"/>
      <c r="AB4" s="1127"/>
      <c r="AC4" s="1127"/>
      <c r="AD4" s="1127"/>
      <c r="AE4" s="1127"/>
      <c r="AF4" s="1127"/>
      <c r="AG4" s="1127"/>
      <c r="AH4" s="1134"/>
      <c r="AI4" s="1127"/>
      <c r="AJ4" s="1127"/>
      <c r="AK4" s="1135" t="s">
        <v>67</v>
      </c>
      <c r="AL4" s="1135">
        <v>6.5877999999999997</v>
      </c>
      <c r="AM4" s="1135">
        <v>9.0923999999999996</v>
      </c>
      <c r="AN4" s="1135">
        <v>11.7454</v>
      </c>
      <c r="AO4" s="1135">
        <v>13.873100000000001</v>
      </c>
      <c r="AP4" s="1135">
        <v>16.580100000000002</v>
      </c>
      <c r="AQ4" s="1135"/>
      <c r="AR4" s="1127"/>
      <c r="AS4" s="1127"/>
      <c r="AT4" s="1127"/>
      <c r="AU4" s="1127"/>
      <c r="AV4" s="1127"/>
      <c r="AW4" s="1127"/>
      <c r="AX4" s="1127"/>
      <c r="AY4" s="1127"/>
      <c r="AZ4" s="1127"/>
      <c r="BA4" s="1127"/>
      <c r="BB4" s="1127"/>
      <c r="BC4" s="1127"/>
      <c r="BD4" s="1127"/>
      <c r="BE4" s="1127"/>
      <c r="BF4" s="1127"/>
      <c r="BG4" s="1127"/>
      <c r="BH4" s="1127"/>
      <c r="BI4" s="1127"/>
      <c r="BJ4" s="1127"/>
      <c r="BK4" s="1127"/>
      <c r="BL4" s="1127"/>
      <c r="BM4" s="1127"/>
      <c r="BN4" s="1127"/>
      <c r="BO4" s="1127"/>
      <c r="BP4" s="1127"/>
      <c r="BQ4" s="1127"/>
      <c r="BR4" s="1127"/>
      <c r="BS4" s="1127"/>
      <c r="BT4" s="1127"/>
      <c r="BU4" s="1127"/>
      <c r="BV4" s="1127"/>
      <c r="BW4" s="1127"/>
      <c r="BX4" s="1127"/>
      <c r="BY4" s="1127"/>
      <c r="BZ4" s="1127"/>
      <c r="CA4" s="1127"/>
      <c r="CB4" s="1127"/>
      <c r="CC4" s="1127"/>
      <c r="CD4" s="1127"/>
      <c r="CE4" s="1127"/>
      <c r="CF4" s="1127"/>
      <c r="CG4" s="1127"/>
      <c r="CH4" s="1127"/>
      <c r="CI4" s="1127"/>
      <c r="CJ4" s="1127"/>
      <c r="CK4" s="1127"/>
      <c r="CL4" s="1127"/>
      <c r="CM4" s="1127"/>
      <c r="CN4" s="1127"/>
      <c r="CO4" s="1127"/>
      <c r="CP4" s="1127"/>
      <c r="CQ4" s="1127"/>
      <c r="CR4" s="1127"/>
    </row>
    <row r="5" spans="1:96" s="1113" customFormat="1" ht="18.75" customHeight="1" thickBot="1" x14ac:dyDescent="0.25">
      <c r="A5" s="1111"/>
      <c r="B5" s="1312"/>
      <c r="D5" s="1136" t="s">
        <v>143</v>
      </c>
      <c r="E5" s="1137"/>
      <c r="F5" s="818"/>
      <c r="G5" s="1314"/>
      <c r="H5" s="1138" t="s">
        <v>230</v>
      </c>
      <c r="I5" s="1139"/>
      <c r="J5" s="818"/>
      <c r="K5" s="1316"/>
      <c r="L5" s="1140" t="s">
        <v>245</v>
      </c>
      <c r="M5" s="1141"/>
      <c r="N5" s="1142"/>
      <c r="O5" s="818"/>
      <c r="P5" s="818"/>
      <c r="Q5" s="818"/>
      <c r="R5" s="1143" t="s">
        <v>237</v>
      </c>
      <c r="S5" s="1144"/>
      <c r="T5" s="1141"/>
      <c r="U5" s="1318">
        <f>V5/100</f>
        <v>1</v>
      </c>
      <c r="V5" s="1413">
        <v>100</v>
      </c>
      <c r="W5" s="818"/>
      <c r="X5" s="818"/>
      <c r="Y5" s="818"/>
      <c r="Z5" s="818"/>
      <c r="AA5" s="818"/>
      <c r="AB5" s="818"/>
      <c r="AC5" s="818"/>
      <c r="AD5" s="818"/>
      <c r="AE5" s="818"/>
      <c r="AF5" s="818"/>
      <c r="AG5" s="818"/>
      <c r="AH5" s="1112"/>
      <c r="AI5" s="818"/>
      <c r="AJ5" s="818"/>
      <c r="AK5" s="1135" t="s">
        <v>248</v>
      </c>
      <c r="AL5" s="1145">
        <v>2.1250000000000002E-3</v>
      </c>
      <c r="AM5" s="1145">
        <v>2.3010000000000001E-3</v>
      </c>
      <c r="AN5" s="1145">
        <v>2.4849999999999998E-3</v>
      </c>
      <c r="AO5" s="1145">
        <v>2.7599999999999999E-3</v>
      </c>
      <c r="AP5" s="1145">
        <v>2.911E-3</v>
      </c>
      <c r="AQ5" s="1145"/>
      <c r="AR5" s="818"/>
      <c r="AS5" s="818"/>
      <c r="AT5" s="818"/>
      <c r="AU5" s="1146"/>
      <c r="AV5" s="1146"/>
      <c r="AW5" s="818"/>
      <c r="AX5" s="818"/>
      <c r="AY5" s="818"/>
      <c r="AZ5" s="818"/>
      <c r="BA5" s="818"/>
      <c r="BB5" s="818"/>
      <c r="BC5" s="818"/>
      <c r="BD5" s="818"/>
      <c r="BE5" s="818"/>
      <c r="BF5" s="818"/>
      <c r="BG5" s="818"/>
      <c r="BH5" s="818"/>
      <c r="BI5" s="818"/>
      <c r="BJ5" s="818"/>
      <c r="BK5" s="818"/>
      <c r="BL5" s="818"/>
      <c r="BM5" s="818"/>
      <c r="BN5" s="818"/>
      <c r="BO5" s="818"/>
      <c r="BP5" s="818"/>
      <c r="BQ5" s="818"/>
      <c r="BR5" s="818"/>
      <c r="BS5" s="818"/>
      <c r="BT5" s="818"/>
      <c r="BU5" s="818"/>
      <c r="BV5" s="818"/>
      <c r="BW5" s="818"/>
      <c r="BX5" s="818"/>
      <c r="BY5" s="818"/>
      <c r="BZ5" s="818"/>
      <c r="CA5" s="818"/>
      <c r="CB5" s="818"/>
      <c r="CC5" s="818"/>
      <c r="CD5" s="818"/>
      <c r="CE5" s="818"/>
      <c r="CF5" s="818"/>
      <c r="CG5" s="818"/>
      <c r="CH5" s="818"/>
      <c r="CI5" s="818"/>
      <c r="CJ5" s="818"/>
      <c r="CK5" s="818"/>
      <c r="CL5" s="818"/>
      <c r="CM5" s="818"/>
      <c r="CN5" s="818"/>
      <c r="CO5" s="818"/>
      <c r="CP5" s="818"/>
      <c r="CQ5" s="818"/>
      <c r="CR5" s="818"/>
    </row>
    <row r="6" spans="1:96" s="818" customFormat="1" ht="13.5" thickBot="1" x14ac:dyDescent="0.25">
      <c r="A6" s="1111"/>
      <c r="AH6" s="1112"/>
      <c r="AI6" s="818" t="s">
        <v>238</v>
      </c>
      <c r="AJ6" s="818" t="s">
        <v>241</v>
      </c>
      <c r="AK6" s="818" t="s">
        <v>242</v>
      </c>
      <c r="AL6" s="818">
        <f>AL4*EXP(AL5*$U$3)</f>
        <v>13.859479703505173</v>
      </c>
      <c r="AM6" s="818">
        <f>AM4*EXP(AM5*$U$3)</f>
        <v>20.344058420389768</v>
      </c>
      <c r="AN6" s="818">
        <f>AN4*EXP(AN5*$U$3)</f>
        <v>28.028214809327</v>
      </c>
      <c r="AO6" s="818">
        <f>AO4*EXP(AO5*$U$3)</f>
        <v>36.450373791715798</v>
      </c>
      <c r="AP6" s="818">
        <f>AP4*EXP(AP5*$U$3)</f>
        <v>45.927000075044475</v>
      </c>
      <c r="AU6" s="1146"/>
      <c r="AV6" s="1146"/>
      <c r="BN6" s="818" t="s">
        <v>243</v>
      </c>
      <c r="BU6" s="818" t="s">
        <v>244</v>
      </c>
    </row>
    <row r="7" spans="1:96" s="1155" customFormat="1" ht="18.75" customHeight="1" thickBot="1" x14ac:dyDescent="0.25">
      <c r="A7" s="1147"/>
      <c r="B7" s="1148" t="s">
        <v>235</v>
      </c>
      <c r="C7" s="428"/>
      <c r="D7" s="428"/>
      <c r="E7" s="1070"/>
      <c r="F7" s="1070"/>
      <c r="G7" s="1070"/>
      <c r="H7" s="1149" t="s">
        <v>215</v>
      </c>
      <c r="I7" s="1150"/>
      <c r="J7" s="1150"/>
      <c r="K7" s="1150"/>
      <c r="L7" s="1150"/>
      <c r="M7" s="1150"/>
      <c r="N7" s="1150"/>
      <c r="O7" s="1150"/>
      <c r="P7" s="1150"/>
      <c r="Q7" s="1150"/>
      <c r="R7" s="1151"/>
      <c r="S7" s="1150"/>
      <c r="T7" s="1152" t="s">
        <v>26</v>
      </c>
      <c r="U7" s="1153"/>
      <c r="V7" s="1150"/>
      <c r="W7" s="1150"/>
      <c r="X7" s="1150"/>
      <c r="Y7" s="1151"/>
      <c r="Z7" s="1150"/>
      <c r="AA7" s="1151"/>
      <c r="AB7" s="1151"/>
      <c r="AC7" s="1151"/>
      <c r="AD7" s="1151"/>
      <c r="AE7" s="1151"/>
      <c r="AF7" s="1151"/>
      <c r="AG7" s="818"/>
      <c r="AH7" s="1112"/>
      <c r="AI7" s="1154" t="s">
        <v>239</v>
      </c>
      <c r="AJ7" s="1154" t="s">
        <v>240</v>
      </c>
      <c r="AK7" s="1154"/>
      <c r="AL7" s="1154">
        <v>600</v>
      </c>
      <c r="AM7" s="1154">
        <v>800</v>
      </c>
      <c r="AN7" s="1154">
        <v>1000</v>
      </c>
      <c r="AO7" s="1154">
        <v>1200</v>
      </c>
      <c r="AP7" s="1154">
        <v>1400</v>
      </c>
      <c r="AQ7" s="1154">
        <v>1600</v>
      </c>
      <c r="AR7" s="1154"/>
      <c r="AS7" s="1154"/>
      <c r="AT7" s="1154"/>
      <c r="AU7" s="1154">
        <f t="shared" ref="AU7:AZ7" si="0">AL7</f>
        <v>600</v>
      </c>
      <c r="AV7" s="1154">
        <f t="shared" si="0"/>
        <v>800</v>
      </c>
      <c r="AW7" s="1154">
        <f t="shared" si="0"/>
        <v>1000</v>
      </c>
      <c r="AX7" s="1154">
        <f t="shared" si="0"/>
        <v>1200</v>
      </c>
      <c r="AY7" s="1154">
        <f t="shared" si="0"/>
        <v>1400</v>
      </c>
      <c r="AZ7" s="1154">
        <f t="shared" si="0"/>
        <v>1600</v>
      </c>
      <c r="BA7" s="1154" t="s">
        <v>287</v>
      </c>
      <c r="BB7" s="1154"/>
      <c r="BC7" s="1154"/>
      <c r="BD7" s="1154"/>
      <c r="BE7" s="1154"/>
      <c r="BF7" s="1154"/>
      <c r="BG7" s="1154"/>
      <c r="BH7" s="1154"/>
      <c r="BI7" s="1154"/>
      <c r="BN7" s="1155">
        <f>AU7</f>
        <v>600</v>
      </c>
      <c r="BO7" s="1155">
        <f>AV7</f>
        <v>800</v>
      </c>
      <c r="BP7" s="1155">
        <f>AW7</f>
        <v>1000</v>
      </c>
      <c r="BQ7" s="1155">
        <f>AX7</f>
        <v>1200</v>
      </c>
      <c r="BR7" s="1155">
        <f>AY7</f>
        <v>1400</v>
      </c>
      <c r="BS7" s="1155">
        <v>1600</v>
      </c>
      <c r="BV7" s="1155">
        <f>BN7</f>
        <v>600</v>
      </c>
      <c r="BW7" s="1155">
        <f>BO7</f>
        <v>800</v>
      </c>
      <c r="BX7" s="1155">
        <f>BP7</f>
        <v>1000</v>
      </c>
      <c r="BY7" s="1155">
        <f>BQ7</f>
        <v>1200</v>
      </c>
      <c r="BZ7" s="1155">
        <f>BR7</f>
        <v>1400</v>
      </c>
      <c r="CE7" s="1070"/>
      <c r="CF7" s="1070"/>
      <c r="CG7" s="1070"/>
      <c r="CH7" s="1070"/>
      <c r="CI7" s="1070"/>
      <c r="CJ7" s="1070"/>
      <c r="CK7" s="1070"/>
      <c r="CL7" s="1070"/>
      <c r="CM7" s="1070"/>
    </row>
    <row r="8" spans="1:96" s="1155" customFormat="1" ht="18.75" customHeight="1" thickBot="1" x14ac:dyDescent="0.25">
      <c r="A8" s="1405"/>
      <c r="B8" s="1156" t="str">
        <f>IF(Mast_Eingabe=1,"TM",IF(Mast_Eingabe=2,"FM",""))</f>
        <v>TM</v>
      </c>
      <c r="C8" s="1344"/>
      <c r="D8" s="1344"/>
      <c r="E8" s="1344"/>
      <c r="F8" s="1344"/>
      <c r="G8" s="1157" t="s">
        <v>145</v>
      </c>
      <c r="H8" s="1158" t="s">
        <v>64</v>
      </c>
      <c r="I8" s="1159" t="s">
        <v>13</v>
      </c>
      <c r="J8" s="1159" t="s">
        <v>14</v>
      </c>
      <c r="K8" s="1159" t="s">
        <v>16</v>
      </c>
      <c r="L8" s="1159" t="s">
        <v>556</v>
      </c>
      <c r="M8" s="1160" t="s">
        <v>18</v>
      </c>
      <c r="N8" s="1160" t="s">
        <v>19</v>
      </c>
      <c r="O8" s="1161" t="s">
        <v>33</v>
      </c>
      <c r="P8" s="1159" t="s">
        <v>34</v>
      </c>
      <c r="Q8" s="1159" t="s">
        <v>35</v>
      </c>
      <c r="R8" s="1162" t="s">
        <v>36</v>
      </c>
      <c r="S8" s="1163" t="s">
        <v>378</v>
      </c>
      <c r="T8" s="1161" t="s">
        <v>147</v>
      </c>
      <c r="U8" s="1164" t="s">
        <v>145</v>
      </c>
      <c r="V8" s="1158" t="str">
        <f t="shared" ref="V8:AF8" si="1">+H8</f>
        <v>ME</v>
      </c>
      <c r="W8" s="1159" t="str">
        <f t="shared" si="1"/>
        <v>nXP</v>
      </c>
      <c r="X8" s="1159" t="str">
        <f t="shared" si="1"/>
        <v>RNB</v>
      </c>
      <c r="Y8" s="1159" t="str">
        <f t="shared" si="1"/>
        <v>XS</v>
      </c>
      <c r="Z8" s="1158" t="str">
        <f t="shared" si="1"/>
        <v>XS+XZ-bXS</v>
      </c>
      <c r="AA8" s="1158" t="str">
        <f t="shared" si="1"/>
        <v>ADF</v>
      </c>
      <c r="AB8" s="1165" t="str">
        <f t="shared" si="1"/>
        <v>NDF</v>
      </c>
      <c r="AC8" s="1161" t="str">
        <f t="shared" si="1"/>
        <v>Ca</v>
      </c>
      <c r="AD8" s="1158" t="str">
        <f t="shared" si="1"/>
        <v>P</v>
      </c>
      <c r="AE8" s="1158" t="str">
        <f t="shared" si="1"/>
        <v>Na</v>
      </c>
      <c r="AF8" s="1165" t="str">
        <f t="shared" si="1"/>
        <v>Mg</v>
      </c>
      <c r="AG8" s="1165" t="s">
        <v>378</v>
      </c>
      <c r="AH8" s="1112"/>
      <c r="AI8" s="1155">
        <v>175</v>
      </c>
      <c r="AJ8" s="1166">
        <f>AI8^0.75*0.53</f>
        <v>25.500835287658493</v>
      </c>
      <c r="AK8" s="1166">
        <f>AI8</f>
        <v>175</v>
      </c>
      <c r="AL8" s="1155">
        <v>9.6</v>
      </c>
      <c r="AM8" s="1155">
        <v>13.9</v>
      </c>
      <c r="AN8" s="1155">
        <v>18.899999999999999</v>
      </c>
      <c r="AU8" s="1166">
        <f t="shared" ref="AU8:AW9" si="2">AL8/AU$7*1000</f>
        <v>16</v>
      </c>
      <c r="AV8" s="1166">
        <f t="shared" si="2"/>
        <v>17.375</v>
      </c>
      <c r="AW8" s="1166">
        <f t="shared" si="2"/>
        <v>18.899999999999999</v>
      </c>
      <c r="AX8" s="1166"/>
      <c r="AY8" s="1166"/>
      <c r="AZ8" s="1166"/>
      <c r="BA8" s="1166">
        <f>MEDIAN(AU8:AZ8)</f>
        <v>17.375</v>
      </c>
      <c r="BB8" s="1166"/>
      <c r="BC8" s="1166"/>
      <c r="BD8" s="1166"/>
      <c r="BE8" s="1166"/>
      <c r="BF8" s="1166"/>
      <c r="BG8" s="1166"/>
      <c r="BH8" s="1166"/>
      <c r="BI8" s="1166"/>
      <c r="BJ8" s="1166"/>
      <c r="BK8" s="1166"/>
      <c r="BL8" s="1166"/>
      <c r="BM8" s="1155">
        <f>AI8</f>
        <v>175</v>
      </c>
      <c r="BN8" s="1167">
        <f t="shared" ref="BN8:BS9" si="3">(-19.7+4.55*LN($BM8)+0.00066*BN$7)*$U$5</f>
        <v>4.1957761813519907</v>
      </c>
      <c r="BO8" s="1167">
        <f t="shared" si="3"/>
        <v>4.3277761813519913</v>
      </c>
      <c r="BP8" s="1167">
        <f t="shared" si="3"/>
        <v>4.4597761813519909</v>
      </c>
      <c r="BQ8" s="1167">
        <f t="shared" si="3"/>
        <v>4.5917761813519906</v>
      </c>
      <c r="BR8" s="1167">
        <f t="shared" si="3"/>
        <v>4.7237761813519912</v>
      </c>
      <c r="BS8" s="1167">
        <f t="shared" si="3"/>
        <v>4.8557761813519909</v>
      </c>
      <c r="BT8" s="1167"/>
      <c r="BU8" s="1155">
        <f>BM8</f>
        <v>175</v>
      </c>
      <c r="BV8" s="1167">
        <f t="shared" ref="BV8:BX9" si="4">AU8/BN8</f>
        <v>3.8133587942825811</v>
      </c>
      <c r="BW8" s="1167">
        <f t="shared" si="4"/>
        <v>4.0147639970078295</v>
      </c>
      <c r="BX8" s="1167">
        <f t="shared" si="4"/>
        <v>4.2378808333539331</v>
      </c>
      <c r="BY8" s="1167"/>
      <c r="BZ8" s="1167"/>
      <c r="CA8" s="1167"/>
      <c r="CE8" s="1070"/>
      <c r="CF8" s="1070"/>
      <c r="CG8" s="1070"/>
      <c r="CH8" s="1070"/>
      <c r="CI8" s="1070"/>
      <c r="CJ8" s="1070"/>
      <c r="CK8" s="1070"/>
      <c r="CL8" s="1070"/>
      <c r="CM8" s="1070"/>
    </row>
    <row r="9" spans="1:96" s="1155" customFormat="1" ht="18.75" customHeight="1" thickBot="1" x14ac:dyDescent="0.25">
      <c r="A9" s="1405"/>
      <c r="B9" s="1168" t="s">
        <v>9</v>
      </c>
      <c r="C9" s="167"/>
      <c r="D9" s="1169" t="s">
        <v>233</v>
      </c>
      <c r="E9" s="1170"/>
      <c r="F9" s="1171"/>
      <c r="G9" s="1172" t="s">
        <v>11</v>
      </c>
      <c r="H9" s="1173" t="s">
        <v>20</v>
      </c>
      <c r="I9" s="1174" t="s">
        <v>21</v>
      </c>
      <c r="J9" s="1174" t="str">
        <f>IF(J8="","","g")</f>
        <v>g</v>
      </c>
      <c r="K9" s="1174" t="s">
        <v>21</v>
      </c>
      <c r="L9" s="1173" t="str">
        <f>IF(L8="","","g")</f>
        <v>g</v>
      </c>
      <c r="M9" s="1173" t="str">
        <f>IF(M8="","","g")</f>
        <v>g</v>
      </c>
      <c r="N9" s="1175" t="s">
        <v>21</v>
      </c>
      <c r="O9" s="1176" t="s">
        <v>21</v>
      </c>
      <c r="P9" s="1174" t="s">
        <v>21</v>
      </c>
      <c r="Q9" s="1174" t="s">
        <v>21</v>
      </c>
      <c r="R9" s="1177" t="s">
        <v>21</v>
      </c>
      <c r="S9" s="1178" t="s">
        <v>388</v>
      </c>
      <c r="T9" s="1179" t="s">
        <v>9</v>
      </c>
      <c r="U9" s="1180" t="s">
        <v>9</v>
      </c>
      <c r="V9" s="1181" t="s">
        <v>20</v>
      </c>
      <c r="W9" s="1182" t="s">
        <v>21</v>
      </c>
      <c r="X9" s="1182" t="str">
        <f>J9</f>
        <v>g</v>
      </c>
      <c r="Y9" s="1182" t="s">
        <v>21</v>
      </c>
      <c r="Z9" s="1182" t="s">
        <v>21</v>
      </c>
      <c r="AA9" s="1181" t="s">
        <v>21</v>
      </c>
      <c r="AB9" s="1183" t="s">
        <v>21</v>
      </c>
      <c r="AC9" s="1179" t="s">
        <v>21</v>
      </c>
      <c r="AD9" s="1181" t="s">
        <v>21</v>
      </c>
      <c r="AE9" s="1181" t="s">
        <v>21</v>
      </c>
      <c r="AF9" s="1183" t="s">
        <v>21</v>
      </c>
      <c r="AG9" s="1183" t="s">
        <v>381</v>
      </c>
      <c r="AH9" s="1112"/>
      <c r="AI9" s="1155">
        <v>225</v>
      </c>
      <c r="AJ9" s="1166">
        <f>AI9^0.75*0.53</f>
        <v>30.790217602348957</v>
      </c>
      <c r="AK9" s="1166">
        <f>AI9</f>
        <v>225</v>
      </c>
      <c r="AL9" s="1155">
        <v>10.6</v>
      </c>
      <c r="AM9" s="1155">
        <v>15.2</v>
      </c>
      <c r="AN9" s="1155">
        <v>20.399999999999999</v>
      </c>
      <c r="AO9" s="1155">
        <v>26.3</v>
      </c>
      <c r="AU9" s="1166">
        <f t="shared" si="2"/>
        <v>17.666666666666668</v>
      </c>
      <c r="AV9" s="1166">
        <f t="shared" si="2"/>
        <v>19</v>
      </c>
      <c r="AW9" s="1166">
        <f t="shared" si="2"/>
        <v>20.399999999999999</v>
      </c>
      <c r="AX9" s="1166">
        <f>AO9/AX$7*1000</f>
        <v>21.916666666666668</v>
      </c>
      <c r="AY9" s="1166"/>
      <c r="AZ9" s="1166"/>
      <c r="BA9" s="1166">
        <f>MEDIAN(AU9:AZ9)</f>
        <v>19.7</v>
      </c>
      <c r="BB9" s="1166"/>
      <c r="BC9" s="1166"/>
      <c r="BD9" s="1166"/>
      <c r="BE9" s="1166"/>
      <c r="BF9" s="1166"/>
      <c r="BG9" s="1166"/>
      <c r="BH9" s="1166"/>
      <c r="BI9" s="1166"/>
      <c r="BJ9" s="1166"/>
      <c r="BK9" s="1166"/>
      <c r="BL9" s="1166"/>
      <c r="BM9" s="1155">
        <f>AI9</f>
        <v>225</v>
      </c>
      <c r="BN9" s="1167">
        <f t="shared" si="3"/>
        <v>5.339256830030112</v>
      </c>
      <c r="BO9" s="1167">
        <f t="shared" si="3"/>
        <v>5.4712568300301125</v>
      </c>
      <c r="BP9" s="1167">
        <f t="shared" si="3"/>
        <v>5.6032568300301122</v>
      </c>
      <c r="BQ9" s="1167">
        <f t="shared" si="3"/>
        <v>5.7352568300301119</v>
      </c>
      <c r="BR9" s="1167">
        <f t="shared" si="3"/>
        <v>5.8672568300301124</v>
      </c>
      <c r="BS9" s="1167">
        <f t="shared" si="3"/>
        <v>5.9992568300301121</v>
      </c>
      <c r="BT9" s="1167"/>
      <c r="BU9" s="1155">
        <f>BM9</f>
        <v>225</v>
      </c>
      <c r="BV9" s="1167">
        <f t="shared" si="4"/>
        <v>3.3088250348442281</v>
      </c>
      <c r="BW9" s="1167">
        <f t="shared" si="4"/>
        <v>3.4726938599764887</v>
      </c>
      <c r="BX9" s="1167">
        <f t="shared" si="4"/>
        <v>3.6407397731027022</v>
      </c>
      <c r="BY9" s="1167">
        <f>AX9/BQ9</f>
        <v>3.821392365884964</v>
      </c>
      <c r="BZ9" s="1167"/>
      <c r="CA9" s="1167"/>
      <c r="CE9" s="1070"/>
      <c r="CF9" s="1070"/>
      <c r="CG9" s="1070"/>
      <c r="CH9" s="1070"/>
      <c r="CI9" s="1070"/>
      <c r="CJ9" s="1070"/>
      <c r="CK9" s="1070"/>
      <c r="CL9" s="1070"/>
      <c r="CM9" s="1070"/>
    </row>
    <row r="10" spans="1:96" s="1155" customFormat="1" ht="21" customHeight="1" thickBot="1" x14ac:dyDescent="0.25">
      <c r="A10" s="1405"/>
      <c r="B10" s="162"/>
      <c r="C10" s="1337">
        <v>48</v>
      </c>
      <c r="D10" s="24">
        <f>INDEX(Tabelle_1,$C10,2)</f>
        <v>0</v>
      </c>
      <c r="E10" s="1329"/>
      <c r="F10" s="1406" t="str">
        <f>IF(INDEX(Tabelle,$C10,1)="G","G","")</f>
        <v/>
      </c>
      <c r="G10" s="1184">
        <f>IF(INDEX(Tabelle,$C10,3)="","fehlt",INDEX(Tabelle,$C10,3)/10)</f>
        <v>0</v>
      </c>
      <c r="H10" s="1185">
        <f>IF(INDEX(Tabelle,$C10,5)="","fehlt",INDEX(Tabelle,$C10,5))</f>
        <v>1E-4</v>
      </c>
      <c r="I10" s="1186">
        <f>IF(INDEX(Tabelle,$C10,8)="","fehlt",INDEX(Tabelle,$C10,8))</f>
        <v>1E-4</v>
      </c>
      <c r="J10" s="1187">
        <f>IF(INDEX(Tabelle,$C10,9)="","fehlt",INDEX(Tabelle,$C10,9))</f>
        <v>1E-4</v>
      </c>
      <c r="K10" s="1186">
        <f>IF(INDEX(Tabelle,$C10,14)="","fehlt",INDEX(Tabelle,$C10,14))</f>
        <v>1E-4</v>
      </c>
      <c r="L10" s="1186">
        <f>IF(INDEX(Tabelle,$C10,17)="","fehlt",INDEX(Tabelle,$C10,17))</f>
        <v>1E-4</v>
      </c>
      <c r="M10" s="1186">
        <f>IF(INDEX(Tabelle,$C10,11)="","fehlt",INDEX(Tabelle,$C10,11))</f>
        <v>1E-4</v>
      </c>
      <c r="N10" s="1188">
        <f>IF(INDEX(Tabelle,$C10,12)="","fehlt",INDEX(Tabelle,$C10,12))</f>
        <v>1E-4</v>
      </c>
      <c r="O10" s="1189">
        <f>IF(INDEX(Tabelle,$C10,22)="","fehlt",INDEX(Tabelle,$C10,22))</f>
        <v>1E-4</v>
      </c>
      <c r="P10" s="1187">
        <f>IF(INDEX(Tabelle,$C10,23)="","fehlt",INDEX(Tabelle,$C10,23))</f>
        <v>1E-4</v>
      </c>
      <c r="Q10" s="1187">
        <f>IF(INDEX(Tabelle,$C10,24)="","fehlt",INDEX(Tabelle,$C10,24))</f>
        <v>1E-4</v>
      </c>
      <c r="R10" s="1190">
        <f>IF(INDEX(Tabelle,$C10,25)="","fehlt",INDEX(Tabelle,$C10,25))</f>
        <v>1E-4</v>
      </c>
      <c r="S10" s="1191" t="str">
        <f>IF(INDEX(Tabelle,$C10,29)="","",INDEX(Tabelle,$C10,29)/100)</f>
        <v/>
      </c>
      <c r="T10" s="1192" t="e">
        <f>IF(G10="",0,IF(Mast_Eingabe=2,B10,B10/G10*100))</f>
        <v>#DIV/0!</v>
      </c>
      <c r="U10" s="1193">
        <f>IF(G10="",0,IF(Mast_Eingabe=1,B10,B10*G10/100))</f>
        <v>0</v>
      </c>
      <c r="V10" s="1194">
        <f>$U10*H10</f>
        <v>0</v>
      </c>
      <c r="W10" s="1195">
        <f t="shared" ref="V10:AF14" si="5">$U10*I10</f>
        <v>0</v>
      </c>
      <c r="X10" s="1195">
        <f t="shared" si="5"/>
        <v>0</v>
      </c>
      <c r="Y10" s="1196">
        <f t="shared" si="5"/>
        <v>0</v>
      </c>
      <c r="Z10" s="1196">
        <f t="shared" si="5"/>
        <v>0</v>
      </c>
      <c r="AA10" s="1195">
        <f t="shared" si="5"/>
        <v>0</v>
      </c>
      <c r="AB10" s="1197">
        <f t="shared" si="5"/>
        <v>0</v>
      </c>
      <c r="AC10" s="1189">
        <f t="shared" si="5"/>
        <v>0</v>
      </c>
      <c r="AD10" s="1187">
        <f t="shared" si="5"/>
        <v>0</v>
      </c>
      <c r="AE10" s="1187">
        <f t="shared" si="5"/>
        <v>0</v>
      </c>
      <c r="AF10" s="1190">
        <f t="shared" si="5"/>
        <v>0</v>
      </c>
      <c r="AG10" s="1191" t="str">
        <f>IF(S10="","",$T10*S10)</f>
        <v/>
      </c>
      <c r="AH10" s="1112"/>
    </row>
    <row r="11" spans="1:96" s="1155" customFormat="1" ht="21" customHeight="1" thickBot="1" x14ac:dyDescent="0.25">
      <c r="A11" s="1405"/>
      <c r="B11" s="163"/>
      <c r="C11" s="1407">
        <v>233</v>
      </c>
      <c r="D11" s="24">
        <f>INDEX(Tabelle_1,$C11,2)</f>
        <v>0</v>
      </c>
      <c r="E11" s="1408"/>
      <c r="F11" s="1409" t="str">
        <f>IF(INDEX(Tabelle,$C11,1)="G","G","")</f>
        <v/>
      </c>
      <c r="G11" s="1198">
        <f>IF(INDEX(Tabelle,$C11,3)="","fehlt",INDEX(Tabelle,$C11,3)/10)</f>
        <v>0</v>
      </c>
      <c r="H11" s="1199">
        <f>IF(INDEX(Tabelle,$C11,5)="","fehlt",INDEX(Tabelle,$C11,5))</f>
        <v>1E-4</v>
      </c>
      <c r="I11" s="1200">
        <f>IF(INDEX(Tabelle,$C11,8)="","fehlt",INDEX(Tabelle,$C11,8))</f>
        <v>1E-4</v>
      </c>
      <c r="J11" s="1201">
        <f>IF(INDEX(Tabelle,$C11,9)="","fehlt",INDEX(Tabelle,$C11,9))</f>
        <v>1E-4</v>
      </c>
      <c r="K11" s="1200">
        <f>IF(INDEX(Tabelle,$C11,14)="","fehlt",INDEX(Tabelle,$C11,14))</f>
        <v>1E-4</v>
      </c>
      <c r="L11" s="1200">
        <f>IF(INDEX(Tabelle,$C11,17)="","fehlt",INDEX(Tabelle,$C11,17))</f>
        <v>1E-4</v>
      </c>
      <c r="M11" s="1200">
        <f>IF(INDEX(Tabelle,$C11,11)="","fehlt",INDEX(Tabelle,$C11,11))</f>
        <v>1E-4</v>
      </c>
      <c r="N11" s="1202">
        <f>IF(INDEX(Tabelle,$C11,12)="","fehlt",INDEX(Tabelle,$C11,12))</f>
        <v>1E-4</v>
      </c>
      <c r="O11" s="1203">
        <f>IF(INDEX(Tabelle,$C11,22)="","fehlt",INDEX(Tabelle,$C11,22))</f>
        <v>1E-4</v>
      </c>
      <c r="P11" s="1201">
        <f>IF(INDEX(Tabelle,$C11,23)="","fehlt",INDEX(Tabelle,$C11,23))</f>
        <v>1E-4</v>
      </c>
      <c r="Q11" s="1201">
        <f>IF(INDEX(Tabelle,$C11,24)="","fehlt",INDEX(Tabelle,$C11,24))</f>
        <v>1E-4</v>
      </c>
      <c r="R11" s="1204">
        <f>IF(INDEX(Tabelle,$C11,25)="","fehlt",INDEX(Tabelle,$C11,25))</f>
        <v>1E-4</v>
      </c>
      <c r="S11" s="1205" t="str">
        <f>IF(INDEX(Tabelle,$C11,29)="","",INDEX(Tabelle,$C11,29)/100)</f>
        <v/>
      </c>
      <c r="T11" s="1192" t="e">
        <f>IF(G11="",0,IF(Mast_Eingabe=2,B11,B11/G11*100))</f>
        <v>#DIV/0!</v>
      </c>
      <c r="U11" s="1193">
        <f>IF(G11="",0,IF(Mast_Eingabe=1,B11,B11*G11/100))</f>
        <v>0</v>
      </c>
      <c r="V11" s="1199">
        <f t="shared" si="5"/>
        <v>0</v>
      </c>
      <c r="W11" s="1201">
        <f t="shared" si="5"/>
        <v>0</v>
      </c>
      <c r="X11" s="1201">
        <f t="shared" si="5"/>
        <v>0</v>
      </c>
      <c r="Y11" s="1200">
        <f t="shared" si="5"/>
        <v>0</v>
      </c>
      <c r="Z11" s="1200">
        <f t="shared" si="5"/>
        <v>0</v>
      </c>
      <c r="AA11" s="1201">
        <f t="shared" si="5"/>
        <v>0</v>
      </c>
      <c r="AB11" s="1206">
        <f t="shared" si="5"/>
        <v>0</v>
      </c>
      <c r="AC11" s="1203">
        <f t="shared" si="5"/>
        <v>0</v>
      </c>
      <c r="AD11" s="1201">
        <f t="shared" si="5"/>
        <v>0</v>
      </c>
      <c r="AE11" s="1201">
        <f t="shared" si="5"/>
        <v>0</v>
      </c>
      <c r="AF11" s="1204">
        <f t="shared" si="5"/>
        <v>0</v>
      </c>
      <c r="AG11" s="1205" t="str">
        <f>IF(S11="","",$T11*S11)</f>
        <v/>
      </c>
      <c r="AH11" s="1112"/>
    </row>
    <row r="12" spans="1:96" s="1155" customFormat="1" ht="21" customHeight="1" thickBot="1" x14ac:dyDescent="0.25">
      <c r="A12" s="1405"/>
      <c r="B12" s="163"/>
      <c r="C12" s="1407">
        <v>193</v>
      </c>
      <c r="D12" s="24">
        <f>INDEX(Tabelle_1,$C12,2)</f>
        <v>0</v>
      </c>
      <c r="E12" s="1408"/>
      <c r="F12" s="1409" t="str">
        <f>IF(INDEX(Tabelle,$C12,1)="G","G","")</f>
        <v/>
      </c>
      <c r="G12" s="1198">
        <f>IF(INDEX(Tabelle,$C12,3)="","fehlt",INDEX(Tabelle,$C12,3)/10)</f>
        <v>0</v>
      </c>
      <c r="H12" s="1199">
        <f>IF(INDEX(Tabelle,$C12,5)="","fehlt",INDEX(Tabelle,$C12,5))</f>
        <v>1E-4</v>
      </c>
      <c r="I12" s="1200">
        <f>IF(INDEX(Tabelle,$C12,8)="","fehlt",INDEX(Tabelle,$C12,8))</f>
        <v>1E-4</v>
      </c>
      <c r="J12" s="1201">
        <f>IF(INDEX(Tabelle,$C12,9)="","fehlt",INDEX(Tabelle,$C12,9))</f>
        <v>1E-4</v>
      </c>
      <c r="K12" s="1201">
        <f>IF(INDEX(Tabelle,$C12,14)="","fehlt",INDEX(Tabelle,$C12,14))</f>
        <v>1E-4</v>
      </c>
      <c r="L12" s="1200">
        <f>IF(INDEX(Tabelle,$C12,17)="","fehlt",INDEX(Tabelle,$C12,17))</f>
        <v>1E-4</v>
      </c>
      <c r="M12" s="1200">
        <f>IF(INDEX(Tabelle,$C12,11)="","fehlt",INDEX(Tabelle,$C12,11))</f>
        <v>1E-4</v>
      </c>
      <c r="N12" s="1202">
        <f>IF(INDEX(Tabelle,$C12,12)="","fehlt",INDEX(Tabelle,$C12,12))</f>
        <v>1E-4</v>
      </c>
      <c r="O12" s="1203">
        <f>IF(INDEX(Tabelle,$C12,22)="","fehlt",INDEX(Tabelle,$C12,22))</f>
        <v>1E-4</v>
      </c>
      <c r="P12" s="1201">
        <f>IF(INDEX(Tabelle,$C12,23)="","fehlt",INDEX(Tabelle,$C12,23))</f>
        <v>1E-4</v>
      </c>
      <c r="Q12" s="1201">
        <f>IF(INDEX(Tabelle,$C12,24)="","fehlt",INDEX(Tabelle,$C12,24))</f>
        <v>1E-4</v>
      </c>
      <c r="R12" s="1204">
        <f>IF(INDEX(Tabelle,$C12,25)="","fehlt",INDEX(Tabelle,$C12,25))</f>
        <v>1E-4</v>
      </c>
      <c r="S12" s="1205" t="str">
        <f>IF(INDEX(Tabelle,$C12,29)="","",INDEX(Tabelle,$C12,29)/100)</f>
        <v/>
      </c>
      <c r="T12" s="1192" t="e">
        <f>IF(G12="",0,IF(Mast_Eingabe=2,B12,B12/G12*100))</f>
        <v>#DIV/0!</v>
      </c>
      <c r="U12" s="1193">
        <f>IF(G12="",0,IF(Mast_Eingabe=1,B12,B12*G12/100))</f>
        <v>0</v>
      </c>
      <c r="V12" s="1199">
        <f t="shared" si="5"/>
        <v>0</v>
      </c>
      <c r="W12" s="1201">
        <f t="shared" si="5"/>
        <v>0</v>
      </c>
      <c r="X12" s="1201">
        <f t="shared" si="5"/>
        <v>0</v>
      </c>
      <c r="Y12" s="1200">
        <f t="shared" si="5"/>
        <v>0</v>
      </c>
      <c r="Z12" s="1200">
        <f t="shared" si="5"/>
        <v>0</v>
      </c>
      <c r="AA12" s="1201">
        <f t="shared" si="5"/>
        <v>0</v>
      </c>
      <c r="AB12" s="1206">
        <f t="shared" si="5"/>
        <v>0</v>
      </c>
      <c r="AC12" s="1203">
        <f t="shared" si="5"/>
        <v>0</v>
      </c>
      <c r="AD12" s="1201">
        <f t="shared" si="5"/>
        <v>0</v>
      </c>
      <c r="AE12" s="1201">
        <f t="shared" si="5"/>
        <v>0</v>
      </c>
      <c r="AF12" s="1204">
        <f t="shared" si="5"/>
        <v>0</v>
      </c>
      <c r="AG12" s="1205" t="str">
        <f>IF(S12="","",$T12*S12)</f>
        <v/>
      </c>
      <c r="AH12" s="1112"/>
    </row>
    <row r="13" spans="1:96" s="1155" customFormat="1" ht="21" customHeight="1" thickBot="1" x14ac:dyDescent="0.25">
      <c r="A13" s="1405"/>
      <c r="B13" s="163"/>
      <c r="C13" s="1407">
        <v>77</v>
      </c>
      <c r="D13" s="24">
        <f>INDEX(Tabelle_1,$C13,2)</f>
        <v>0</v>
      </c>
      <c r="E13" s="1408"/>
      <c r="F13" s="1409" t="str">
        <f>IF(INDEX(Tabelle,$C13,1)="G","G","")</f>
        <v/>
      </c>
      <c r="G13" s="1198">
        <f>IF(INDEX(Tabelle,$C13,3)="","fehlt",INDEX(Tabelle,$C13,3)/10)</f>
        <v>0</v>
      </c>
      <c r="H13" s="1199">
        <f>IF(INDEX(Tabelle,$C13,5)="","fehlt",INDEX(Tabelle,$C13,5))</f>
        <v>1E-4</v>
      </c>
      <c r="I13" s="1200">
        <f>IF(INDEX(Tabelle,$C13,8)="","fehlt",INDEX(Tabelle,$C13,8))</f>
        <v>1E-4</v>
      </c>
      <c r="J13" s="1201">
        <f>IF(INDEX(Tabelle,$C13,9)="","fehlt",INDEX(Tabelle,$C13,9))</f>
        <v>1E-4</v>
      </c>
      <c r="K13" s="1201">
        <f>IF(INDEX(Tabelle,$C13,14)="","fehlt",INDEX(Tabelle,$C13,14))</f>
        <v>1E-4</v>
      </c>
      <c r="L13" s="1200">
        <f>IF(INDEX(Tabelle,$C13,17)="","fehlt",INDEX(Tabelle,$C13,17))</f>
        <v>1E-4</v>
      </c>
      <c r="M13" s="1200">
        <f>IF(INDEX(Tabelle,$C13,11)="","fehlt",INDEX(Tabelle,$C13,11))</f>
        <v>1E-4</v>
      </c>
      <c r="N13" s="1202">
        <f>IF(INDEX(Tabelle,$C13,12)="","fehlt",INDEX(Tabelle,$C13,12))</f>
        <v>1E-4</v>
      </c>
      <c r="O13" s="1203">
        <f>IF(INDEX(Tabelle,$C13,22)="","fehlt",INDEX(Tabelle,$C13,22))</f>
        <v>1E-4</v>
      </c>
      <c r="P13" s="1201">
        <f>IF(INDEX(Tabelle,$C13,23)="","fehlt",INDEX(Tabelle,$C13,23))</f>
        <v>1E-4</v>
      </c>
      <c r="Q13" s="1201">
        <f>IF(INDEX(Tabelle,$C13,24)="","fehlt",INDEX(Tabelle,$C13,24))</f>
        <v>1E-4</v>
      </c>
      <c r="R13" s="1204">
        <f>IF(INDEX(Tabelle,$C13,25)="","fehlt",INDEX(Tabelle,$C13,25))</f>
        <v>1E-4</v>
      </c>
      <c r="S13" s="1205" t="str">
        <f>IF(INDEX(Tabelle,$C13,29)="","",INDEX(Tabelle,$C13,29)/100)</f>
        <v/>
      </c>
      <c r="T13" s="1192" t="e">
        <f>IF(G13="",0,IF(Mast_Eingabe=2,B13,B13/G13*100))</f>
        <v>#DIV/0!</v>
      </c>
      <c r="U13" s="1193">
        <f>IF(G13="",0,IF(Mast_Eingabe=1,B13,B13*G13/100))</f>
        <v>0</v>
      </c>
      <c r="V13" s="1199">
        <f t="shared" si="5"/>
        <v>0</v>
      </c>
      <c r="W13" s="1201">
        <f t="shared" si="5"/>
        <v>0</v>
      </c>
      <c r="X13" s="1201">
        <f t="shared" si="5"/>
        <v>0</v>
      </c>
      <c r="Y13" s="1200">
        <f t="shared" si="5"/>
        <v>0</v>
      </c>
      <c r="Z13" s="1200">
        <f t="shared" si="5"/>
        <v>0</v>
      </c>
      <c r="AA13" s="1201">
        <f t="shared" si="5"/>
        <v>0</v>
      </c>
      <c r="AB13" s="1206">
        <f t="shared" si="5"/>
        <v>0</v>
      </c>
      <c r="AC13" s="1203">
        <f t="shared" si="5"/>
        <v>0</v>
      </c>
      <c r="AD13" s="1201">
        <f t="shared" si="5"/>
        <v>0</v>
      </c>
      <c r="AE13" s="1201">
        <f t="shared" si="5"/>
        <v>0</v>
      </c>
      <c r="AF13" s="1204">
        <f t="shared" si="5"/>
        <v>0</v>
      </c>
      <c r="AG13" s="1205" t="str">
        <f>IF(S13="","",$T13*S13)</f>
        <v/>
      </c>
      <c r="AH13" s="1112"/>
    </row>
    <row r="14" spans="1:96" s="1155" customFormat="1" ht="21" customHeight="1" thickBot="1" x14ac:dyDescent="0.25">
      <c r="A14" s="1405"/>
      <c r="B14" s="164"/>
      <c r="C14" s="1339">
        <v>156</v>
      </c>
      <c r="D14" s="24">
        <f>INDEX(Tabelle_1,$C14,2)</f>
        <v>0</v>
      </c>
      <c r="E14" s="1333"/>
      <c r="F14" s="1409" t="str">
        <f>IF(INDEX(Tabelle,$C14,1)="G","G","")</f>
        <v/>
      </c>
      <c r="G14" s="1207">
        <f>IF(INDEX(Tabelle,$C14,3)="","fehlt",INDEX(Tabelle,$C14,3)/10)</f>
        <v>0</v>
      </c>
      <c r="H14" s="1208">
        <f>IF(INDEX(Tabelle,$C14,5)="","fehlt",INDEX(Tabelle,$C14,5))</f>
        <v>1E-4</v>
      </c>
      <c r="I14" s="1209">
        <f>IF(INDEX(Tabelle,$C14,8)="","fehlt",INDEX(Tabelle,$C14,8))</f>
        <v>1E-4</v>
      </c>
      <c r="J14" s="1210">
        <f>IF(INDEX(Tabelle,$C14,9)="","fehlt",INDEX(Tabelle,$C14,9))</f>
        <v>1E-4</v>
      </c>
      <c r="K14" s="1209">
        <f>IF(INDEX(Tabelle,$C14,14)="","fehlt",INDEX(Tabelle,$C14,14))</f>
        <v>1E-4</v>
      </c>
      <c r="L14" s="1209">
        <f>IF(INDEX(Tabelle,$C14,17)="","fehlt",INDEX(Tabelle,$C14,17))</f>
        <v>1E-4</v>
      </c>
      <c r="M14" s="1209">
        <f>IF(INDEX(Tabelle,$C14,11)="","fehlt",INDEX(Tabelle,$C14,11))</f>
        <v>1E-4</v>
      </c>
      <c r="N14" s="1211">
        <f>IF(INDEX(Tabelle,$C14,12)="","fehlt",INDEX(Tabelle,$C14,12))</f>
        <v>1E-4</v>
      </c>
      <c r="O14" s="1212">
        <f>IF(INDEX(Tabelle,$C14,22)="","fehlt",INDEX(Tabelle,$C14,22))</f>
        <v>1E-4</v>
      </c>
      <c r="P14" s="1210">
        <f>IF(INDEX(Tabelle,$C14,23)="","fehlt",INDEX(Tabelle,$C14,23))</f>
        <v>1E-4</v>
      </c>
      <c r="Q14" s="1210">
        <f>IF(INDEX(Tabelle,$C14,24)="","fehlt",INDEX(Tabelle,$C14,24))</f>
        <v>1E-4</v>
      </c>
      <c r="R14" s="1213">
        <f>IF(INDEX(Tabelle,$C14,25)="","fehlt",INDEX(Tabelle,$C14,25))</f>
        <v>1E-4</v>
      </c>
      <c r="S14" s="1214" t="str">
        <f>IF(INDEX(Tabelle,$C14,29)="","",INDEX(Tabelle,$C14,29)/100)</f>
        <v/>
      </c>
      <c r="T14" s="1215" t="e">
        <f>IF(G14="",0,IF(Mast_Eingabe=2,B14,B14/G14*100))</f>
        <v>#DIV/0!</v>
      </c>
      <c r="U14" s="1216">
        <f>IF(G14="",0,IF(Mast_Eingabe=1,B14,B14*G14/100))</f>
        <v>0</v>
      </c>
      <c r="V14" s="1217">
        <f t="shared" si="5"/>
        <v>0</v>
      </c>
      <c r="W14" s="1218">
        <f t="shared" si="5"/>
        <v>0</v>
      </c>
      <c r="X14" s="1218">
        <f t="shared" si="5"/>
        <v>0</v>
      </c>
      <c r="Y14" s="1219">
        <f t="shared" si="5"/>
        <v>0</v>
      </c>
      <c r="Z14" s="1219">
        <f t="shared" si="5"/>
        <v>0</v>
      </c>
      <c r="AA14" s="1218">
        <f t="shared" si="5"/>
        <v>0</v>
      </c>
      <c r="AB14" s="1220">
        <f t="shared" si="5"/>
        <v>0</v>
      </c>
      <c r="AC14" s="1221">
        <f t="shared" si="5"/>
        <v>0</v>
      </c>
      <c r="AD14" s="1218">
        <f t="shared" si="5"/>
        <v>0</v>
      </c>
      <c r="AE14" s="1218">
        <f t="shared" si="5"/>
        <v>0</v>
      </c>
      <c r="AF14" s="1213">
        <f t="shared" si="5"/>
        <v>0</v>
      </c>
      <c r="AG14" s="1214" t="str">
        <f>IF(S14="","",$T14*S14)</f>
        <v/>
      </c>
      <c r="AH14" s="1112"/>
    </row>
    <row r="15" spans="1:96" s="1155" customFormat="1" ht="18.75" customHeight="1" thickBot="1" x14ac:dyDescent="0.25">
      <c r="A15" s="1405"/>
      <c r="B15" s="1410"/>
      <c r="C15" s="1410"/>
      <c r="D15" s="1410"/>
      <c r="E15" s="1410"/>
      <c r="F15" s="1411"/>
      <c r="G15" s="1222"/>
      <c r="H15" s="428"/>
      <c r="I15" s="428"/>
      <c r="J15" s="428"/>
      <c r="K15" s="428"/>
      <c r="L15" s="428"/>
      <c r="M15" s="1223"/>
      <c r="N15" s="428"/>
      <c r="O15" s="428"/>
      <c r="P15" s="428"/>
      <c r="Q15" s="428"/>
      <c r="R15" s="1224" t="s">
        <v>27</v>
      </c>
      <c r="S15" s="1225">
        <v>1</v>
      </c>
      <c r="T15" s="1226" t="e">
        <f>SUM(T10:T14)</f>
        <v>#DIV/0!</v>
      </c>
      <c r="U15" s="1227">
        <f t="shared" ref="U15:AE15" si="6">SUM(U10:U14)</f>
        <v>0</v>
      </c>
      <c r="V15" s="1228">
        <f t="shared" si="6"/>
        <v>0</v>
      </c>
      <c r="W15" s="1229">
        <f>SUM(W10:W14)</f>
        <v>0</v>
      </c>
      <c r="X15" s="1230">
        <f t="shared" si="6"/>
        <v>0</v>
      </c>
      <c r="Y15" s="1229">
        <f t="shared" si="6"/>
        <v>0</v>
      </c>
      <c r="Z15" s="1231">
        <f t="shared" si="6"/>
        <v>0</v>
      </c>
      <c r="AA15" s="1229">
        <f t="shared" si="6"/>
        <v>0</v>
      </c>
      <c r="AB15" s="1232">
        <f t="shared" si="6"/>
        <v>0</v>
      </c>
      <c r="AC15" s="1233">
        <f t="shared" si="6"/>
        <v>0</v>
      </c>
      <c r="AD15" s="1232">
        <f t="shared" si="6"/>
        <v>0</v>
      </c>
      <c r="AE15" s="1232">
        <f t="shared" si="6"/>
        <v>0</v>
      </c>
      <c r="AF15" s="1234">
        <f>SUM(AF10:AF14)</f>
        <v>0</v>
      </c>
      <c r="AG15" s="1235">
        <f>SUM(AG10:AG14)</f>
        <v>0</v>
      </c>
      <c r="AH15" s="1112"/>
      <c r="AI15" s="1155">
        <v>525</v>
      </c>
      <c r="AJ15" s="1166">
        <f>AI15^0.75*0.53</f>
        <v>58.129333996458953</v>
      </c>
      <c r="AK15" s="1166">
        <f>AI15</f>
        <v>525</v>
      </c>
      <c r="AL15" s="1155">
        <v>20.100000000000001</v>
      </c>
      <c r="AM15" s="1155">
        <v>30.8</v>
      </c>
      <c r="AN15" s="1155">
        <v>44.4</v>
      </c>
      <c r="AU15" s="1166">
        <f>AL15/AU$7*1000</f>
        <v>33.5</v>
      </c>
      <c r="AV15" s="1166">
        <f>AM15/AV$7*1000</f>
        <v>38.5</v>
      </c>
      <c r="AW15" s="1166">
        <f>AN15/AW$7*1000</f>
        <v>44.4</v>
      </c>
      <c r="AX15" s="1166"/>
      <c r="AY15" s="1166"/>
      <c r="AZ15" s="1166"/>
      <c r="BA15" s="1166">
        <f>MEDIAN(AU15:AZ15)</f>
        <v>38.5</v>
      </c>
      <c r="BB15" s="1166"/>
      <c r="BC15" s="1166"/>
      <c r="BD15" s="1166"/>
      <c r="BE15" s="1166"/>
      <c r="BF15" s="1166"/>
      <c r="BG15" s="1166"/>
      <c r="BH15" s="1166"/>
      <c r="BI15" s="1166"/>
      <c r="BJ15" s="1166"/>
      <c r="BK15" s="1166"/>
      <c r="BL15" s="1166"/>
      <c r="BM15" s="1155">
        <f>AI15</f>
        <v>525</v>
      </c>
      <c r="BN15" s="1167">
        <f t="shared" ref="BN15:BS15" si="7">(-19.7+4.55*LN($BM15)+0.00066*BN$7)*$U$5</f>
        <v>9.1944620947918878</v>
      </c>
      <c r="BO15" s="1167">
        <f t="shared" si="7"/>
        <v>9.3264620947918875</v>
      </c>
      <c r="BP15" s="1167">
        <f t="shared" si="7"/>
        <v>9.4584620947918872</v>
      </c>
      <c r="BQ15" s="1167">
        <f t="shared" si="7"/>
        <v>9.5904620947918868</v>
      </c>
      <c r="BR15" s="1167">
        <f t="shared" si="7"/>
        <v>9.7224620947918865</v>
      </c>
      <c r="BS15" s="1167">
        <f t="shared" si="7"/>
        <v>9.8544620947918879</v>
      </c>
      <c r="BT15" s="1167"/>
      <c r="BU15" s="1155">
        <f>BM15</f>
        <v>525</v>
      </c>
      <c r="BV15" s="1167">
        <f>AU15/BN15</f>
        <v>3.6434975373900063</v>
      </c>
      <c r="BW15" s="1167">
        <f>AV15/BO15</f>
        <v>4.1280390794167587</v>
      </c>
      <c r="BX15" s="1167">
        <f>AW15/BP15</f>
        <v>4.694209222918805</v>
      </c>
      <c r="BY15" s="1167"/>
      <c r="BZ15" s="1167"/>
      <c r="CA15" s="1167"/>
      <c r="CE15" s="1070"/>
      <c r="CF15" s="1070"/>
      <c r="CG15" s="1070"/>
      <c r="CH15" s="1070"/>
      <c r="CI15" s="1070"/>
      <c r="CJ15" s="1070"/>
      <c r="CK15" s="1070"/>
      <c r="CL15" s="1070"/>
      <c r="CM15" s="1070"/>
    </row>
    <row r="16" spans="1:96" s="1155" customFormat="1" ht="18.75" customHeight="1" thickBot="1" x14ac:dyDescent="0.25">
      <c r="A16" s="1405"/>
      <c r="B16" s="1412"/>
      <c r="C16" s="1355"/>
      <c r="D16" s="1169" t="s">
        <v>234</v>
      </c>
      <c r="E16" s="1170"/>
      <c r="F16" s="1236"/>
      <c r="G16" s="1222"/>
      <c r="H16" s="428"/>
      <c r="I16" s="428"/>
      <c r="J16" s="428"/>
      <c r="K16" s="1223"/>
      <c r="L16" s="1223"/>
      <c r="M16" s="1237"/>
      <c r="N16" s="894"/>
      <c r="O16" s="1223"/>
      <c r="P16" s="1223"/>
      <c r="Q16" s="1223"/>
      <c r="R16" s="1223"/>
      <c r="S16" s="1223">
        <v>1</v>
      </c>
      <c r="T16" s="1238" t="s">
        <v>146</v>
      </c>
      <c r="U16" s="578" t="str">
        <f>IF(U15=0,"",U15/T15)</f>
        <v/>
      </c>
      <c r="V16" s="1239">
        <f>IF($U15=0,0,V15/$U15)</f>
        <v>0</v>
      </c>
      <c r="W16" s="1240">
        <f t="shared" ref="W16:AF16" si="8">IF($U15=0,0,W15/$U15)</f>
        <v>0</v>
      </c>
      <c r="X16" s="1241">
        <f t="shared" si="8"/>
        <v>0</v>
      </c>
      <c r="Y16" s="1240">
        <f t="shared" si="8"/>
        <v>0</v>
      </c>
      <c r="Z16" s="1240">
        <f t="shared" si="8"/>
        <v>0</v>
      </c>
      <c r="AA16" s="1240">
        <f t="shared" si="8"/>
        <v>0</v>
      </c>
      <c r="AB16" s="1240">
        <f t="shared" si="8"/>
        <v>0</v>
      </c>
      <c r="AC16" s="1241">
        <f t="shared" si="8"/>
        <v>0</v>
      </c>
      <c r="AD16" s="1241">
        <f t="shared" si="8"/>
        <v>0</v>
      </c>
      <c r="AE16" s="1241">
        <f t="shared" si="8"/>
        <v>0</v>
      </c>
      <c r="AF16" s="1241">
        <f t="shared" si="8"/>
        <v>0</v>
      </c>
      <c r="AG16" s="1242">
        <f>IF(U15=0,0,AG15/$U15)</f>
        <v>0</v>
      </c>
      <c r="AH16" s="1112"/>
      <c r="CE16" s="1070"/>
      <c r="CF16" s="1070"/>
      <c r="CG16" s="1070"/>
      <c r="CH16" s="1070"/>
      <c r="CI16" s="1070"/>
      <c r="CJ16" s="1070"/>
      <c r="CK16" s="1070"/>
      <c r="CL16" s="1070"/>
      <c r="CM16" s="1070"/>
    </row>
    <row r="17" spans="1:91" s="1155" customFormat="1" ht="18.75" customHeight="1" thickBot="1" x14ac:dyDescent="0.25">
      <c r="A17" s="1405"/>
      <c r="B17" s="1410"/>
      <c r="C17" s="1355"/>
      <c r="D17" s="1243"/>
      <c r="E17" s="1244"/>
      <c r="F17" s="1245"/>
      <c r="G17" s="1222"/>
      <c r="H17" s="428"/>
      <c r="I17" s="428"/>
      <c r="J17" s="428"/>
      <c r="K17" s="1223"/>
      <c r="L17" s="1223"/>
      <c r="M17" s="1237"/>
      <c r="N17" s="894"/>
      <c r="O17" s="1223"/>
      <c r="P17" s="1223"/>
      <c r="Q17" s="1223"/>
      <c r="R17" s="1223"/>
      <c r="S17" s="1223"/>
      <c r="T17" s="428"/>
      <c r="U17" s="1246"/>
      <c r="V17" s="428"/>
      <c r="W17" s="428"/>
      <c r="X17" s="894"/>
      <c r="Y17" s="1237"/>
      <c r="Z17" s="894"/>
      <c r="AA17" s="894"/>
      <c r="AB17" s="894"/>
      <c r="AC17" s="894"/>
      <c r="AD17" s="894"/>
      <c r="AE17" s="894"/>
      <c r="AF17" s="894"/>
      <c r="AG17" s="894"/>
      <c r="AH17" s="1112"/>
      <c r="CE17" s="1070"/>
      <c r="CF17" s="1070"/>
      <c r="CG17" s="1070"/>
      <c r="CH17" s="1070"/>
      <c r="CI17" s="1070"/>
      <c r="CJ17" s="1070"/>
      <c r="CK17" s="1070"/>
      <c r="CL17" s="1070"/>
      <c r="CM17" s="1070"/>
    </row>
    <row r="18" spans="1:91" s="1155" customFormat="1" ht="21.75" customHeight="1" thickBot="1" x14ac:dyDescent="0.25">
      <c r="A18" s="1405"/>
      <c r="B18" s="162"/>
      <c r="C18" s="1337">
        <v>47</v>
      </c>
      <c r="D18" s="24">
        <f>INDEX(Tabelle_1,$C18,2)</f>
        <v>0</v>
      </c>
      <c r="E18" s="1329"/>
      <c r="F18" s="1406" t="str">
        <f>IF(INDEX(Tabelle,$C18,1)="G","G","")</f>
        <v/>
      </c>
      <c r="G18" s="1184" t="str">
        <f>IF(INDEX(Tabelle,$C18,3)="","fehlt",INDEX(Tabelle,$C18,3)/10)</f>
        <v>fehlt</v>
      </c>
      <c r="H18" s="1185" t="str">
        <f>IF(INDEX(Tabelle,$C18,5)="","fehlt",INDEX(Tabelle,$C18,5))</f>
        <v>fehlt</v>
      </c>
      <c r="I18" s="1186" t="str">
        <f>IF(INDEX(Tabelle,$C18,8)="","fehlt",INDEX(Tabelle,$C18,8))</f>
        <v>fehlt</v>
      </c>
      <c r="J18" s="1187" t="str">
        <f>IF(INDEX(Tabelle,$C18,9)="","fehlt",INDEX(Tabelle,$C18,9))</f>
        <v>fehlt</v>
      </c>
      <c r="K18" s="1186" t="str">
        <f>IF(INDEX(Tabelle,$C18,14)="","fehlt",INDEX(Tabelle,$C18,14))</f>
        <v>fehlt</v>
      </c>
      <c r="L18" s="1186" t="str">
        <f>IF(INDEX(Tabelle,$C18,17)="","fehlt",INDEX(Tabelle,$C18,17))</f>
        <v>fehlt</v>
      </c>
      <c r="M18" s="1186" t="str">
        <f>IF(INDEX(Tabelle,$C18,11)="","fehlt",INDEX(Tabelle,$C18,11))</f>
        <v>fehlt</v>
      </c>
      <c r="N18" s="1188" t="str">
        <f>IF(INDEX(Tabelle,$C18,12)="","fehlt",INDEX(Tabelle,$C18,12))</f>
        <v>fehlt</v>
      </c>
      <c r="O18" s="1189" t="str">
        <f>IF(INDEX(Tabelle,$C18,22)="","fehlt",INDEX(Tabelle,$C18,22))</f>
        <v>fehlt</v>
      </c>
      <c r="P18" s="1187" t="str">
        <f>IF(INDEX(Tabelle,$C18,23)="","fehlt",INDEX(Tabelle,$C18,23))</f>
        <v>fehlt</v>
      </c>
      <c r="Q18" s="1187" t="str">
        <f>IF(INDEX(Tabelle,$C18,24)="","fehlt",INDEX(Tabelle,$C18,24))</f>
        <v>fehlt</v>
      </c>
      <c r="R18" s="1190" t="str">
        <f>IF(INDEX(Tabelle,$C18,25)="","fehlt",INDEX(Tabelle,$C18,25))</f>
        <v>fehlt</v>
      </c>
      <c r="S18" s="1191" t="str">
        <f>IF(INDEX(Tabelle,$C18,29)="","",INDEX(Tabelle,$C18,29)/100)</f>
        <v/>
      </c>
      <c r="T18" s="1247" t="e">
        <f>IF(G18="",0,IF(Mast_Eingabe=2,B18,B18/G18*100))</f>
        <v>#VALUE!</v>
      </c>
      <c r="U18" s="1248">
        <f>IF(G18="",0,IF(Mast_Eingabe=1,B18,B18*G18/100))</f>
        <v>0</v>
      </c>
      <c r="V18" s="1199" t="e">
        <f t="shared" ref="V18:AF20" si="9">$U18*H18</f>
        <v>#VALUE!</v>
      </c>
      <c r="W18" s="1201" t="e">
        <f t="shared" si="9"/>
        <v>#VALUE!</v>
      </c>
      <c r="X18" s="1201" t="e">
        <f t="shared" si="9"/>
        <v>#VALUE!</v>
      </c>
      <c r="Y18" s="1200" t="e">
        <f t="shared" si="9"/>
        <v>#VALUE!</v>
      </c>
      <c r="Z18" s="1200" t="e">
        <f t="shared" si="9"/>
        <v>#VALUE!</v>
      </c>
      <c r="AA18" s="1201" t="e">
        <f t="shared" si="9"/>
        <v>#VALUE!</v>
      </c>
      <c r="AB18" s="1206" t="e">
        <f t="shared" si="9"/>
        <v>#VALUE!</v>
      </c>
      <c r="AC18" s="1189" t="e">
        <f t="shared" si="9"/>
        <v>#VALUE!</v>
      </c>
      <c r="AD18" s="1187" t="e">
        <f t="shared" si="9"/>
        <v>#VALUE!</v>
      </c>
      <c r="AE18" s="1187" t="e">
        <f t="shared" si="9"/>
        <v>#VALUE!</v>
      </c>
      <c r="AF18" s="1190" t="e">
        <f t="shared" si="9"/>
        <v>#VALUE!</v>
      </c>
      <c r="AG18" s="1205" t="str">
        <f>IF(S18="","",$T18*S18)</f>
        <v/>
      </c>
      <c r="AH18" s="1112"/>
      <c r="CE18" s="1070"/>
      <c r="CF18" s="1070"/>
      <c r="CG18" s="1070"/>
      <c r="CH18" s="1249"/>
      <c r="CI18" s="1070"/>
      <c r="CJ18" s="1070"/>
      <c r="CK18" s="1070"/>
      <c r="CL18" s="1070"/>
      <c r="CM18" s="1070"/>
    </row>
    <row r="19" spans="1:91" s="1155" customFormat="1" ht="21.75" customHeight="1" thickBot="1" x14ac:dyDescent="0.25">
      <c r="A19" s="1405"/>
      <c r="B19" s="163"/>
      <c r="C19" s="1407">
        <v>48</v>
      </c>
      <c r="D19" s="24">
        <f>INDEX(Tabelle_1,$C19,2)</f>
        <v>0</v>
      </c>
      <c r="E19" s="1408"/>
      <c r="F19" s="1409" t="str">
        <f>IF(INDEX(Tabelle,$C19,1)="G","G","")</f>
        <v/>
      </c>
      <c r="G19" s="1198">
        <f>IF(INDEX(Tabelle,$C19,3)="","fehlt",INDEX(Tabelle,$C19,3)/10)</f>
        <v>0</v>
      </c>
      <c r="H19" s="1199">
        <f>IF(INDEX(Tabelle,$C19,5)="","fehlt",INDEX(Tabelle,$C19,5))</f>
        <v>1E-4</v>
      </c>
      <c r="I19" s="1200">
        <f>IF(INDEX(Tabelle,$C19,8)="","fehlt",INDEX(Tabelle,$C19,8))</f>
        <v>1E-4</v>
      </c>
      <c r="J19" s="1201">
        <f>IF(INDEX(Tabelle,$C19,9)="","fehlt",INDEX(Tabelle,$C19,9))</f>
        <v>1E-4</v>
      </c>
      <c r="K19" s="1200">
        <f>IF(INDEX(Tabelle,$C19,14)="","fehlt",INDEX(Tabelle,$C19,14))</f>
        <v>1E-4</v>
      </c>
      <c r="L19" s="1200">
        <f>IF(INDEX(Tabelle,$C19,17)="","fehlt",INDEX(Tabelle,$C19,17))</f>
        <v>1E-4</v>
      </c>
      <c r="M19" s="1200">
        <f>IF(INDEX(Tabelle,$C19,11)="","fehlt",INDEX(Tabelle,$C19,11))</f>
        <v>1E-4</v>
      </c>
      <c r="N19" s="1202">
        <f>IF(INDEX(Tabelle,$C19,12)="","fehlt",INDEX(Tabelle,$C19,12))</f>
        <v>1E-4</v>
      </c>
      <c r="O19" s="1203">
        <f>IF(INDEX(Tabelle,$C19,22)="","fehlt",INDEX(Tabelle,$C19,22))</f>
        <v>1E-4</v>
      </c>
      <c r="P19" s="1201">
        <f>IF(INDEX(Tabelle,$C19,23)="","fehlt",INDEX(Tabelle,$C19,23))</f>
        <v>1E-4</v>
      </c>
      <c r="Q19" s="1201">
        <f>IF(INDEX(Tabelle,$C19,24)="","fehlt",INDEX(Tabelle,$C19,24))</f>
        <v>1E-4</v>
      </c>
      <c r="R19" s="1204">
        <f>IF(INDEX(Tabelle,$C19,25)="","fehlt",INDEX(Tabelle,$C19,25))</f>
        <v>1E-4</v>
      </c>
      <c r="S19" s="1205" t="str">
        <f>IF(INDEX(Tabelle,$C19,29)="","",INDEX(Tabelle,$C19,29)/100)</f>
        <v/>
      </c>
      <c r="T19" s="1192" t="e">
        <f>IF(G19="",0,IF(Mast_Eingabe=2,B19,B19/G19*100))</f>
        <v>#DIV/0!</v>
      </c>
      <c r="U19" s="1193">
        <f>IF(G19="",0,IF(Mast_Eingabe=1,B19,B19*G19/100))</f>
        <v>0</v>
      </c>
      <c r="V19" s="1199">
        <f t="shared" si="9"/>
        <v>0</v>
      </c>
      <c r="W19" s="1201">
        <f t="shared" si="9"/>
        <v>0</v>
      </c>
      <c r="X19" s="1201">
        <f t="shared" si="9"/>
        <v>0</v>
      </c>
      <c r="Y19" s="1200">
        <f t="shared" si="9"/>
        <v>0</v>
      </c>
      <c r="Z19" s="1200">
        <f t="shared" si="9"/>
        <v>0</v>
      </c>
      <c r="AA19" s="1201">
        <f t="shared" si="9"/>
        <v>0</v>
      </c>
      <c r="AB19" s="1206">
        <f t="shared" si="9"/>
        <v>0</v>
      </c>
      <c r="AC19" s="1203">
        <f t="shared" si="9"/>
        <v>0</v>
      </c>
      <c r="AD19" s="1201">
        <f t="shared" si="9"/>
        <v>0</v>
      </c>
      <c r="AE19" s="1201">
        <f t="shared" si="9"/>
        <v>0</v>
      </c>
      <c r="AF19" s="1204">
        <f t="shared" si="9"/>
        <v>0</v>
      </c>
      <c r="AG19" s="1205" t="str">
        <f>IF(S19="","",$T19*S19)</f>
        <v/>
      </c>
      <c r="AH19" s="1112"/>
      <c r="CE19" s="1070"/>
      <c r="CF19" s="1070"/>
      <c r="CG19" s="1070"/>
      <c r="CH19" s="1070"/>
      <c r="CI19" s="1070"/>
      <c r="CJ19" s="1070"/>
      <c r="CK19" s="1070"/>
      <c r="CL19" s="1070"/>
      <c r="CM19" s="1070"/>
    </row>
    <row r="20" spans="1:91" s="1155" customFormat="1" ht="21.75" customHeight="1" thickBot="1" x14ac:dyDescent="0.25">
      <c r="A20" s="1405"/>
      <c r="B20" s="164"/>
      <c r="C20" s="1339">
        <v>156</v>
      </c>
      <c r="D20" s="24">
        <f>INDEX(Tabelle_1,$C20,2)</f>
        <v>0</v>
      </c>
      <c r="E20" s="1333"/>
      <c r="F20" s="1409" t="str">
        <f>IF(INDEX(Tabelle,$C20,1)="G","G","")</f>
        <v/>
      </c>
      <c r="G20" s="1207">
        <f>IF(INDEX(Tabelle,$C20,3)="","fehlt",INDEX(Tabelle,$C20,3)/10)</f>
        <v>0</v>
      </c>
      <c r="H20" s="1208">
        <f>IF(INDEX(Tabelle,$C20,5)="","fehlt",INDEX(Tabelle,$C20,5))</f>
        <v>1E-4</v>
      </c>
      <c r="I20" s="1209">
        <f>IF(INDEX(Tabelle,$C20,8)="","fehlt",INDEX(Tabelle,$C20,8))</f>
        <v>1E-4</v>
      </c>
      <c r="J20" s="1210">
        <f>IF(INDEX(Tabelle,$C20,9)="","fehlt",INDEX(Tabelle,$C20,9))</f>
        <v>1E-4</v>
      </c>
      <c r="K20" s="1209">
        <f>IF(INDEX(Tabelle,$C20,14)="","fehlt",INDEX(Tabelle,$C20,14))</f>
        <v>1E-4</v>
      </c>
      <c r="L20" s="1209">
        <f>IF(INDEX(Tabelle,$C20,17)="","fehlt",INDEX(Tabelle,$C20,17))</f>
        <v>1E-4</v>
      </c>
      <c r="M20" s="1209">
        <f>IF(INDEX(Tabelle,$C20,11)="","fehlt",INDEX(Tabelle,$C20,11))</f>
        <v>1E-4</v>
      </c>
      <c r="N20" s="1211">
        <f>IF(INDEX(Tabelle,$C20,12)="","fehlt",INDEX(Tabelle,$C20,12))</f>
        <v>1E-4</v>
      </c>
      <c r="O20" s="1212">
        <f>IF(INDEX(Tabelle,$C20,22)="","fehlt",INDEX(Tabelle,$C20,22))</f>
        <v>1E-4</v>
      </c>
      <c r="P20" s="1210">
        <f>IF(INDEX(Tabelle,$C20,23)="","fehlt",INDEX(Tabelle,$C20,23))</f>
        <v>1E-4</v>
      </c>
      <c r="Q20" s="1210">
        <f>IF(INDEX(Tabelle,$C20,24)="","fehlt",INDEX(Tabelle,$C20,24))</f>
        <v>1E-4</v>
      </c>
      <c r="R20" s="1250">
        <f>IF(INDEX(Tabelle,$C20,25)="","fehlt",INDEX(Tabelle,$C20,25))</f>
        <v>1E-4</v>
      </c>
      <c r="S20" s="1251" t="str">
        <f>IF(INDEX(Tabelle,$C20,29)="","",INDEX(Tabelle,$C20,29)/100)</f>
        <v/>
      </c>
      <c r="T20" s="1252" t="e">
        <f>IF(G20="",0,IF(Mast_Eingabe=2,B20,B20/G20*100))</f>
        <v>#DIV/0!</v>
      </c>
      <c r="U20" s="1253">
        <f>IF(G20="",0,IF(Mast_Eingabe=1,B20,B20*G20/100))</f>
        <v>0</v>
      </c>
      <c r="V20" s="1210">
        <f t="shared" si="9"/>
        <v>0</v>
      </c>
      <c r="W20" s="1210">
        <f t="shared" si="9"/>
        <v>0</v>
      </c>
      <c r="X20" s="1210">
        <f t="shared" si="9"/>
        <v>0</v>
      </c>
      <c r="Y20" s="1209">
        <f t="shared" si="9"/>
        <v>0</v>
      </c>
      <c r="Z20" s="1209">
        <f t="shared" si="9"/>
        <v>0</v>
      </c>
      <c r="AA20" s="1210">
        <f t="shared" si="9"/>
        <v>0</v>
      </c>
      <c r="AB20" s="1210">
        <f t="shared" si="9"/>
        <v>0</v>
      </c>
      <c r="AC20" s="1212">
        <f t="shared" si="9"/>
        <v>0</v>
      </c>
      <c r="AD20" s="1210">
        <f t="shared" si="9"/>
        <v>0</v>
      </c>
      <c r="AE20" s="1210">
        <f t="shared" si="9"/>
        <v>0</v>
      </c>
      <c r="AF20" s="1250">
        <f t="shared" si="9"/>
        <v>0</v>
      </c>
      <c r="AG20" s="1214" t="str">
        <f>IF(S20="","",$T20*S20)</f>
        <v/>
      </c>
      <c r="AH20" s="1112"/>
      <c r="AK20" s="1254" t="s">
        <v>67</v>
      </c>
      <c r="AL20" s="1155">
        <v>18.128499999999999</v>
      </c>
      <c r="AM20" s="1155">
        <v>21.206099999999999</v>
      </c>
      <c r="AN20" s="1155">
        <v>26.123100000000001</v>
      </c>
      <c r="AO20" s="1155">
        <v>30.767399999999999</v>
      </c>
      <c r="AP20" s="1155">
        <v>35.812800000000003</v>
      </c>
      <c r="CE20" s="1070"/>
      <c r="CF20" s="1070"/>
      <c r="CG20" s="1070"/>
      <c r="CH20" s="1070"/>
      <c r="CI20" s="1070"/>
      <c r="CJ20" s="1070"/>
      <c r="CK20" s="1070"/>
      <c r="CL20" s="1070"/>
      <c r="CM20" s="1070"/>
    </row>
    <row r="21" spans="1:91" s="1155" customFormat="1" ht="18.75" customHeight="1" thickBot="1" x14ac:dyDescent="0.25">
      <c r="A21" s="1147"/>
      <c r="B21" s="1223"/>
      <c r="C21" s="1223"/>
      <c r="D21" s="1223"/>
      <c r="E21" s="1223"/>
      <c r="F21" s="1223"/>
      <c r="G21" s="1223"/>
      <c r="H21" s="1223"/>
      <c r="I21" s="1223"/>
      <c r="J21" s="1223"/>
      <c r="K21" s="1223"/>
      <c r="L21" s="1223"/>
      <c r="M21" s="1223"/>
      <c r="N21" s="1223"/>
      <c r="O21" s="1223"/>
      <c r="P21" s="1223"/>
      <c r="Q21" s="1223"/>
      <c r="R21" s="1255"/>
      <c r="S21" s="1255"/>
      <c r="T21" s="1252"/>
      <c r="U21" s="1253">
        <f>SUM(U18:U20)</f>
        <v>0</v>
      </c>
      <c r="V21" s="1256">
        <f>IF($U21=0,0,SUM(V18:V20)/$U21)</f>
        <v>0</v>
      </c>
      <c r="W21" s="1256">
        <f>IF($U21=0,0,SUM(W18:W20)/$U21)</f>
        <v>0</v>
      </c>
      <c r="X21" s="1257">
        <f t="shared" ref="X21:AF21" si="10">IF($U21=0,0,SUM(X18:X20)/$U21)</f>
        <v>0</v>
      </c>
      <c r="Y21" s="1257">
        <f t="shared" si="10"/>
        <v>0</v>
      </c>
      <c r="Z21" s="1257">
        <f t="shared" si="10"/>
        <v>0</v>
      </c>
      <c r="AA21" s="1257">
        <f t="shared" si="10"/>
        <v>0</v>
      </c>
      <c r="AB21" s="1258">
        <f t="shared" si="10"/>
        <v>0</v>
      </c>
      <c r="AC21" s="1212">
        <f t="shared" si="10"/>
        <v>0</v>
      </c>
      <c r="AD21" s="1259">
        <f t="shared" si="10"/>
        <v>0</v>
      </c>
      <c r="AE21" s="1259">
        <f t="shared" si="10"/>
        <v>0</v>
      </c>
      <c r="AF21" s="1260">
        <f t="shared" si="10"/>
        <v>0</v>
      </c>
      <c r="AG21" s="1235">
        <f>SUM(AG16:AG20)</f>
        <v>0</v>
      </c>
      <c r="AH21" s="1112"/>
      <c r="AK21" s="1254"/>
      <c r="CE21" s="1070"/>
      <c r="CF21" s="1070"/>
      <c r="CG21" s="1070"/>
      <c r="CH21" s="1070"/>
      <c r="CI21" s="1070"/>
      <c r="CJ21" s="1070"/>
      <c r="CK21" s="1070"/>
      <c r="CL21" s="1070"/>
      <c r="CM21" s="1070"/>
    </row>
    <row r="22" spans="1:91" s="1155" customFormat="1" ht="18.75" customHeight="1" thickBot="1" x14ac:dyDescent="0.25">
      <c r="A22" s="1147"/>
      <c r="B22" s="1223"/>
      <c r="C22" s="1223"/>
      <c r="D22" s="1223"/>
      <c r="E22" s="1223"/>
      <c r="F22" s="1223"/>
      <c r="G22" s="1223"/>
      <c r="H22" s="1223"/>
      <c r="I22" s="1223"/>
      <c r="J22" s="1223"/>
      <c r="K22" s="1223"/>
      <c r="L22" s="1223"/>
      <c r="M22" s="1223"/>
      <c r="N22" s="1223"/>
      <c r="O22" s="1223"/>
      <c r="P22" s="1223"/>
      <c r="Q22" s="1223"/>
      <c r="R22" s="1243" t="s">
        <v>27</v>
      </c>
      <c r="S22" s="1243">
        <v>1</v>
      </c>
      <c r="T22" s="1261" t="e">
        <f t="shared" ref="T22:AE22" si="11">SUM(T18:T20,T10:T14)</f>
        <v>#VALUE!</v>
      </c>
      <c r="U22" s="1262">
        <f t="shared" si="11"/>
        <v>0</v>
      </c>
      <c r="V22" s="1263" t="e">
        <f>SUM(V18:V20,V10:V14)</f>
        <v>#VALUE!</v>
      </c>
      <c r="W22" s="1264" t="e">
        <f t="shared" si="11"/>
        <v>#VALUE!</v>
      </c>
      <c r="X22" s="1265" t="e">
        <f t="shared" si="11"/>
        <v>#VALUE!</v>
      </c>
      <c r="Y22" s="1264" t="e">
        <f t="shared" si="11"/>
        <v>#VALUE!</v>
      </c>
      <c r="Z22" s="1264" t="e">
        <f t="shared" si="11"/>
        <v>#VALUE!</v>
      </c>
      <c r="AA22" s="1264" t="e">
        <f t="shared" si="11"/>
        <v>#VALUE!</v>
      </c>
      <c r="AB22" s="1264" t="e">
        <f t="shared" si="11"/>
        <v>#VALUE!</v>
      </c>
      <c r="AC22" s="1266" t="e">
        <f t="shared" si="11"/>
        <v>#VALUE!</v>
      </c>
      <c r="AD22" s="1264" t="e">
        <f t="shared" si="11"/>
        <v>#VALUE!</v>
      </c>
      <c r="AE22" s="1264" t="e">
        <f t="shared" si="11"/>
        <v>#VALUE!</v>
      </c>
      <c r="AF22" s="1267" t="e">
        <f>SUM(AF18:AF20,AF10:AF14)</f>
        <v>#VALUE!</v>
      </c>
      <c r="AG22" s="1262">
        <f>SUM(AG18:AG20)</f>
        <v>0</v>
      </c>
      <c r="AH22" s="1112"/>
      <c r="AK22" s="1254" t="s">
        <v>248</v>
      </c>
      <c r="AL22" s="1155">
        <v>5.8399999999999999E-4</v>
      </c>
      <c r="AM22" s="1155">
        <v>6.5300000000000004E-4</v>
      </c>
      <c r="AN22" s="1155">
        <v>6.0999999999999997E-4</v>
      </c>
      <c r="AO22" s="1155">
        <v>4.15E-4</v>
      </c>
      <c r="AP22" s="1155">
        <v>3.6000000000000002E-4</v>
      </c>
      <c r="CE22" s="1070"/>
      <c r="CF22" s="1070"/>
      <c r="CG22" s="1070"/>
      <c r="CH22" s="1070"/>
      <c r="CI22" s="1070"/>
      <c r="CJ22" s="1070"/>
      <c r="CK22" s="1070"/>
      <c r="CL22" s="1070"/>
      <c r="CM22" s="1070"/>
    </row>
    <row r="23" spans="1:91" s="1155" customFormat="1" ht="18.75" customHeight="1" thickBot="1" x14ac:dyDescent="0.25">
      <c r="A23" s="1147"/>
      <c r="B23" s="1223"/>
      <c r="C23" s="1223"/>
      <c r="D23" s="1223"/>
      <c r="E23" s="1223"/>
      <c r="F23" s="1223"/>
      <c r="G23" s="1223"/>
      <c r="H23" s="1223"/>
      <c r="I23" s="1223"/>
      <c r="J23" s="1223"/>
      <c r="K23" s="1223"/>
      <c r="L23" s="1223"/>
      <c r="M23" s="1223"/>
      <c r="N23" s="1223"/>
      <c r="O23" s="1223"/>
      <c r="P23" s="1223"/>
      <c r="Q23" s="1223"/>
      <c r="R23" s="1268" t="str">
        <f>"Bedarf bei "&amp;U3&amp;" kg LM"</f>
        <v>Bedarf bei 350 kg LM</v>
      </c>
      <c r="S23" s="1269"/>
      <c r="T23" s="1270"/>
      <c r="U23" s="1271">
        <f>IF(Mast_GF_TM1=0,0,IF(Mast_Rasse=3,4.4*LN(Mast_LM)+$V$24*1.06-28.7,0.173+0.01372*Mast_LM+1.47*Mast_LMZ/1000)*$U$5)</f>
        <v>0</v>
      </c>
      <c r="V23" s="1272">
        <f>Mast_LM^0.75*0.53+IF(Mast_Rasse=1,Mast_LMZ/1000*(11.8738*EXP(0.00232*Mast_LM)),IF(Mast_Rasse=2,Mast_LMZ/1000*(21.156*EXP(0.00065*Mast_LM)),Mast_LMZ/1000*(12.0882*EXP(0.00248*Mast_LM))))</f>
        <v>63.044186534265663</v>
      </c>
      <c r="W23" s="1273">
        <f>Mast_LM^0.524*16.9+IF(Mast_Rasse=1,Mast_LMZ/1000*(369+0.249*Mast_LM-0.0004*Mast_LM^2),IF(Mast_Rasse=2,Mast_LMZ/1000*(Mast_LM^0.1435*193),Mast_LMZ/1000*(264+0.492*Mast_LM-0.00103*Mast_LM^2)))</f>
        <v>580.91440331887952</v>
      </c>
      <c r="X23" s="156">
        <f>(-19.7+4.55*LN($U$3)+0.00066*$U$4)*X5</f>
        <v>0</v>
      </c>
      <c r="Y23" s="156" t="str">
        <f>"&lt; "&amp;ROUND($U22*200,0)</f>
        <v>&lt; 0</v>
      </c>
      <c r="Z23" s="156" t="str">
        <f>"&lt; "&amp;ROUND($U22*250,0)</f>
        <v>&lt; 0</v>
      </c>
      <c r="AA23" s="156" t="str">
        <f>"&gt; "&amp;ROUND($U22*195,0)</f>
        <v>&gt; 0</v>
      </c>
      <c r="AB23" s="157" t="str">
        <f>"&gt; "&amp;ROUND($U22*320,0)</f>
        <v>&gt; 0</v>
      </c>
      <c r="AC23" s="159">
        <f>U23*2+0.0212*Mast_LMZ+5.8</f>
        <v>20.64</v>
      </c>
      <c r="AD23" s="160">
        <f>U23*1.4+Mast_LMZ*0.0095+1.3</f>
        <v>7.9499999999999993</v>
      </c>
      <c r="AE23" s="160">
        <f>U23*1+Mast_LMZ*0.0024+0.1</f>
        <v>1.78</v>
      </c>
      <c r="AF23" s="161">
        <f>U23*0.7+Mast_LMZ*0.0017</f>
        <v>1.19</v>
      </c>
      <c r="AG23" s="161" t="s">
        <v>389</v>
      </c>
      <c r="AH23" s="1112"/>
      <c r="AI23" s="1113" t="s">
        <v>238</v>
      </c>
      <c r="AJ23" s="1113" t="s">
        <v>220</v>
      </c>
      <c r="AK23" s="1113" t="s">
        <v>242</v>
      </c>
      <c r="AL23" s="1113">
        <f>AL20*EXP(AL22*$U$3)</f>
        <v>22.239840232073725</v>
      </c>
      <c r="AM23" s="1113">
        <f>AM20*EXP(AM22*$U$3)</f>
        <v>26.651325218246846</v>
      </c>
      <c r="AN23" s="1113">
        <f>AN20*EXP(AN22*$U$3)</f>
        <v>32.340489185607041</v>
      </c>
      <c r="AO23" s="1113">
        <f>AO20*EXP(AO22*$U$3)</f>
        <v>35.577225068835894</v>
      </c>
      <c r="AP23" s="1113">
        <f>AP20*EXP(AP22*$U$3)</f>
        <v>40.62182043628632</v>
      </c>
      <c r="AQ23" s="1113"/>
      <c r="AR23" s="1113"/>
      <c r="AS23" s="1113"/>
      <c r="AT23" s="1113"/>
      <c r="AU23" s="1274"/>
      <c r="AV23" s="1274"/>
      <c r="AW23" s="1113"/>
      <c r="AX23" s="1113"/>
      <c r="AY23" s="1113"/>
      <c r="AZ23" s="1113"/>
      <c r="BA23" s="1113"/>
      <c r="BB23" s="1113"/>
      <c r="BC23" s="1113"/>
      <c r="BD23" s="1113"/>
      <c r="BE23" s="1113"/>
      <c r="BF23" s="1113"/>
      <c r="BG23" s="1113"/>
      <c r="BH23" s="1113"/>
      <c r="BI23" s="1113"/>
      <c r="BJ23" s="1113"/>
      <c r="BK23" s="1113"/>
      <c r="BL23" s="1113"/>
      <c r="BM23" s="1113"/>
      <c r="BN23" s="1113" t="s">
        <v>243</v>
      </c>
      <c r="BO23" s="1113"/>
      <c r="BP23" s="1113"/>
      <c r="BQ23" s="1113"/>
      <c r="BR23" s="1113"/>
      <c r="BS23" s="1113"/>
      <c r="BT23" s="1113"/>
      <c r="BU23" s="1113" t="s">
        <v>244</v>
      </c>
      <c r="BV23" s="1113"/>
      <c r="BW23" s="1113"/>
      <c r="BX23" s="1113"/>
      <c r="BY23" s="1113"/>
      <c r="BZ23" s="1113"/>
      <c r="CA23" s="1113"/>
      <c r="CE23" s="1070"/>
      <c r="CF23" s="1070"/>
      <c r="CG23" s="1070"/>
      <c r="CH23" s="1070"/>
      <c r="CI23" s="1070"/>
      <c r="CJ23" s="1070"/>
      <c r="CK23" s="1070"/>
      <c r="CL23" s="1070"/>
      <c r="CM23" s="1070"/>
    </row>
    <row r="24" spans="1:91" s="1155" customFormat="1" ht="18.75" customHeight="1" thickBot="1" x14ac:dyDescent="0.25">
      <c r="A24" s="1147"/>
      <c r="B24" s="1223"/>
      <c r="C24" s="1223"/>
      <c r="D24" s="1223"/>
      <c r="E24" s="1223"/>
      <c r="F24" s="1223"/>
      <c r="G24" s="1223"/>
      <c r="H24" s="1223"/>
      <c r="I24" s="1223"/>
      <c r="J24" s="1223"/>
      <c r="K24" s="1223"/>
      <c r="L24" s="1223"/>
      <c r="M24" s="1223"/>
      <c r="N24" s="1223"/>
      <c r="O24" s="1223"/>
      <c r="P24" s="1223"/>
      <c r="Q24" s="1223"/>
      <c r="R24" s="1485" t="s">
        <v>146</v>
      </c>
      <c r="S24" s="1486"/>
      <c r="T24" s="1487"/>
      <c r="U24" s="578" t="str">
        <f>IF(U22=0,"",U22/T22)</f>
        <v/>
      </c>
      <c r="V24" s="1275">
        <f>IF($U22=0,0,ROUND(V22/$U22,2))</f>
        <v>0</v>
      </c>
      <c r="W24" s="1276">
        <f t="shared" ref="W24:AF24" si="12">IF($U22=0,0,ROUND(W22/$U22,2))</f>
        <v>0</v>
      </c>
      <c r="X24" s="1277">
        <f t="shared" si="12"/>
        <v>0</v>
      </c>
      <c r="Y24" s="1276">
        <f t="shared" si="12"/>
        <v>0</v>
      </c>
      <c r="Z24" s="1276">
        <f t="shared" si="12"/>
        <v>0</v>
      </c>
      <c r="AA24" s="1276">
        <f t="shared" si="12"/>
        <v>0</v>
      </c>
      <c r="AB24" s="1276">
        <f t="shared" si="12"/>
        <v>0</v>
      </c>
      <c r="AC24" s="1277">
        <f t="shared" si="12"/>
        <v>0</v>
      </c>
      <c r="AD24" s="1277">
        <f t="shared" si="12"/>
        <v>0</v>
      </c>
      <c r="AE24" s="1277">
        <f t="shared" si="12"/>
        <v>0</v>
      </c>
      <c r="AF24" s="1277">
        <f t="shared" si="12"/>
        <v>0</v>
      </c>
      <c r="AG24" s="1278">
        <f>IF(AG22=0,0,AG22/SUM(U18:U20))</f>
        <v>0</v>
      </c>
      <c r="AH24" s="1112"/>
      <c r="AI24" s="1155" t="s">
        <v>239</v>
      </c>
      <c r="AJ24" s="1155" t="s">
        <v>240</v>
      </c>
      <c r="AL24" s="1155">
        <v>800</v>
      </c>
      <c r="AM24" s="1155">
        <v>1000</v>
      </c>
      <c r="AN24" s="1155">
        <v>1200</v>
      </c>
      <c r="AO24" s="1155">
        <v>1400</v>
      </c>
      <c r="AP24" s="1155">
        <v>1600</v>
      </c>
      <c r="AU24" s="1155">
        <f>AL24</f>
        <v>800</v>
      </c>
      <c r="AV24" s="1155">
        <f>AM24</f>
        <v>1000</v>
      </c>
      <c r="AW24" s="1155">
        <f>AN24</f>
        <v>1200</v>
      </c>
      <c r="AX24" s="1155">
        <f>AO24</f>
        <v>1400</v>
      </c>
      <c r="AY24" s="1155">
        <f>AP24</f>
        <v>1600</v>
      </c>
      <c r="AZ24" s="1154" t="s">
        <v>287</v>
      </c>
      <c r="BN24" s="1155">
        <f>AU24</f>
        <v>800</v>
      </c>
      <c r="BO24" s="1155">
        <f>AV24</f>
        <v>1000</v>
      </c>
      <c r="BP24" s="1155">
        <f>AW24</f>
        <v>1200</v>
      </c>
      <c r="BQ24" s="1155">
        <f>AX24</f>
        <v>1400</v>
      </c>
      <c r="BR24" s="1155">
        <f>AY24</f>
        <v>1600</v>
      </c>
      <c r="BS24" s="1155">
        <v>1600</v>
      </c>
      <c r="BV24" s="1155">
        <f>BN24</f>
        <v>800</v>
      </c>
      <c r="BW24" s="1155">
        <f>BO24</f>
        <v>1000</v>
      </c>
      <c r="BX24" s="1155">
        <f>BP24</f>
        <v>1200</v>
      </c>
      <c r="BY24" s="1155">
        <f>BQ24</f>
        <v>1400</v>
      </c>
      <c r="BZ24" s="1155">
        <f>BR24</f>
        <v>1600</v>
      </c>
      <c r="CE24" s="1070"/>
      <c r="CF24" s="1070"/>
      <c r="CG24" s="1070"/>
      <c r="CH24" s="1070"/>
      <c r="CI24" s="1070"/>
      <c r="CJ24" s="1070"/>
      <c r="CK24" s="1070"/>
      <c r="CL24" s="1070"/>
      <c r="CM24" s="1070"/>
    </row>
    <row r="25" spans="1:91" s="1155" customFormat="1" ht="18.75" customHeight="1" x14ac:dyDescent="0.2">
      <c r="A25" s="1147"/>
      <c r="B25" s="1223"/>
      <c r="C25" s="1223"/>
      <c r="D25" s="1223"/>
      <c r="E25" s="1223"/>
      <c r="F25" s="1223"/>
      <c r="G25" s="1223"/>
      <c r="H25" s="1223"/>
      <c r="I25" s="1223"/>
      <c r="J25" s="1223"/>
      <c r="K25" s="1223"/>
      <c r="L25" s="1223"/>
      <c r="M25" s="1223"/>
      <c r="N25" s="1223"/>
      <c r="O25" s="1223"/>
      <c r="P25" s="1223"/>
      <c r="Q25" s="1223"/>
      <c r="R25" s="1279" t="s">
        <v>236</v>
      </c>
      <c r="S25" s="1280"/>
      <c r="T25" s="1281"/>
      <c r="U25" s="1281"/>
      <c r="V25" s="1282">
        <v>150</v>
      </c>
      <c r="W25" s="1283">
        <v>200</v>
      </c>
      <c r="X25" s="1283">
        <v>250</v>
      </c>
      <c r="Y25" s="1283">
        <v>300</v>
      </c>
      <c r="Z25" s="1283">
        <v>350</v>
      </c>
      <c r="AA25" s="1283">
        <v>400</v>
      </c>
      <c r="AB25" s="1283">
        <v>450</v>
      </c>
      <c r="AC25" s="1283">
        <v>500</v>
      </c>
      <c r="AD25" s="1283">
        <v>550</v>
      </c>
      <c r="AE25" s="1283">
        <v>600</v>
      </c>
      <c r="AF25" s="1284">
        <v>650</v>
      </c>
      <c r="AG25" s="1223"/>
      <c r="AH25" s="1112"/>
      <c r="AZ25" s="1154"/>
      <c r="CE25" s="1070"/>
      <c r="CF25" s="1070"/>
      <c r="CG25" s="1070"/>
      <c r="CH25" s="1070"/>
      <c r="CI25" s="1070"/>
      <c r="CJ25" s="1070"/>
      <c r="CK25" s="1070"/>
      <c r="CL25" s="1070"/>
      <c r="CM25" s="1070"/>
    </row>
    <row r="26" spans="1:91" s="1155" customFormat="1" ht="18.75" customHeight="1" x14ac:dyDescent="0.2">
      <c r="A26" s="1147"/>
      <c r="B26" s="1223"/>
      <c r="C26" s="1223"/>
      <c r="D26" s="1223"/>
      <c r="E26" s="1223"/>
      <c r="F26" s="1223"/>
      <c r="G26" s="1223"/>
      <c r="H26" s="1223"/>
      <c r="I26" s="1223"/>
      <c r="J26" s="1223"/>
      <c r="K26" s="1223"/>
      <c r="L26" s="1223"/>
      <c r="M26" s="1223"/>
      <c r="N26" s="1223"/>
      <c r="O26" s="1223"/>
      <c r="P26" s="1223"/>
      <c r="Q26" s="1223"/>
      <c r="R26" s="1285" t="s">
        <v>237</v>
      </c>
      <c r="S26" s="1286"/>
      <c r="T26" s="1287"/>
      <c r="U26" s="1287"/>
      <c r="V26" s="1288">
        <f t="shared" ref="V26:AF26" si="13">IF($U22=0,0,IF(Mast_Rasse=3,4.4*LN(V25)+$V$24*1.06-28.7,0.173+0.01372*V25+1.47*Mast_LMZ/1000)*$U$5)</f>
        <v>0</v>
      </c>
      <c r="W26" s="1289">
        <f t="shared" si="13"/>
        <v>0</v>
      </c>
      <c r="X26" s="1289">
        <f t="shared" si="13"/>
        <v>0</v>
      </c>
      <c r="Y26" s="1289">
        <f t="shared" si="13"/>
        <v>0</v>
      </c>
      <c r="Z26" s="1289">
        <f t="shared" si="13"/>
        <v>0</v>
      </c>
      <c r="AA26" s="1289">
        <f t="shared" si="13"/>
        <v>0</v>
      </c>
      <c r="AB26" s="1289">
        <f t="shared" si="13"/>
        <v>0</v>
      </c>
      <c r="AC26" s="1289">
        <f t="shared" si="13"/>
        <v>0</v>
      </c>
      <c r="AD26" s="1289">
        <f t="shared" si="13"/>
        <v>0</v>
      </c>
      <c r="AE26" s="1289">
        <f t="shared" si="13"/>
        <v>0</v>
      </c>
      <c r="AF26" s="1290">
        <f t="shared" si="13"/>
        <v>0</v>
      </c>
      <c r="AG26" s="1223"/>
      <c r="AH26" s="1112"/>
      <c r="AZ26" s="1154"/>
      <c r="CE26" s="1070"/>
      <c r="CF26" s="1070"/>
      <c r="CG26" s="1070"/>
      <c r="CH26" s="1070"/>
      <c r="CI26" s="1070"/>
      <c r="CJ26" s="1070"/>
      <c r="CK26" s="1070"/>
      <c r="CL26" s="1070"/>
      <c r="CM26" s="1070"/>
    </row>
    <row r="27" spans="1:91" s="1155" customFormat="1" ht="18.75" customHeight="1" x14ac:dyDescent="0.2">
      <c r="A27" s="1147"/>
      <c r="B27" s="1223"/>
      <c r="C27" s="1223"/>
      <c r="D27" s="1223"/>
      <c r="E27" s="1223"/>
      <c r="F27" s="1223"/>
      <c r="G27" s="1223"/>
      <c r="H27" s="1223"/>
      <c r="I27" s="1223"/>
      <c r="J27" s="1223"/>
      <c r="K27" s="1223"/>
      <c r="L27" s="1223"/>
      <c r="M27" s="1223"/>
      <c r="N27" s="1223"/>
      <c r="O27" s="1223"/>
      <c r="P27" s="1223"/>
      <c r="Q27" s="1223"/>
      <c r="R27" s="1285" t="s">
        <v>295</v>
      </c>
      <c r="S27" s="1286"/>
      <c r="T27" s="1287"/>
      <c r="U27" s="1287"/>
      <c r="V27" s="1291">
        <f t="shared" ref="V27:AF27" si="14">IF($U22=0,0,ROUND(((V26-Mast_KF_TM1)*Mast_GF_ME1+Mast_KF_TM1*Mast_KF_ME1-(V25^0.75*0.53))/(IF(Mast_Rasse=1,11.8738*EXP(0.00232*V25),IF(Mast_Rasse=2,21.156*EXP(0.00065*V25),12.0882*EXP(0.00248*V25))))*1000,-1))</f>
        <v>0</v>
      </c>
      <c r="W27" s="1292">
        <f t="shared" si="14"/>
        <v>0</v>
      </c>
      <c r="X27" s="1292">
        <f t="shared" si="14"/>
        <v>0</v>
      </c>
      <c r="Y27" s="1292">
        <f t="shared" si="14"/>
        <v>0</v>
      </c>
      <c r="Z27" s="1292">
        <f t="shared" si="14"/>
        <v>0</v>
      </c>
      <c r="AA27" s="1292">
        <f t="shared" si="14"/>
        <v>0</v>
      </c>
      <c r="AB27" s="1292">
        <f t="shared" si="14"/>
        <v>0</v>
      </c>
      <c r="AC27" s="1292">
        <f t="shared" si="14"/>
        <v>0</v>
      </c>
      <c r="AD27" s="1292">
        <f t="shared" si="14"/>
        <v>0</v>
      </c>
      <c r="AE27" s="1292">
        <f t="shared" si="14"/>
        <v>0</v>
      </c>
      <c r="AF27" s="1293">
        <f t="shared" si="14"/>
        <v>0</v>
      </c>
      <c r="AG27" s="1223"/>
      <c r="AH27" s="1112"/>
      <c r="AZ27" s="1154"/>
      <c r="CE27" s="1070"/>
      <c r="CF27" s="1070"/>
      <c r="CG27" s="1070"/>
      <c r="CH27" s="1070"/>
      <c r="CI27" s="1070"/>
      <c r="CJ27" s="1070"/>
      <c r="CK27" s="1070"/>
      <c r="CL27" s="1070"/>
      <c r="CM27" s="1070"/>
    </row>
    <row r="28" spans="1:91" s="1155" customFormat="1" ht="18.75" customHeight="1" thickBot="1" x14ac:dyDescent="0.25">
      <c r="A28" s="1147"/>
      <c r="B28" s="1223"/>
      <c r="C28" s="1223"/>
      <c r="D28" s="1223"/>
      <c r="E28" s="1223"/>
      <c r="F28" s="1223"/>
      <c r="G28" s="1223"/>
      <c r="H28" s="1223"/>
      <c r="I28" s="1223"/>
      <c r="J28" s="1223"/>
      <c r="K28" s="1223"/>
      <c r="L28" s="1223"/>
      <c r="M28" s="1223"/>
      <c r="N28" s="1223"/>
      <c r="O28" s="1223"/>
      <c r="P28" s="1223"/>
      <c r="Q28" s="1223"/>
      <c r="R28" s="1294" t="s">
        <v>307</v>
      </c>
      <c r="S28" s="1295"/>
      <c r="T28" s="1296"/>
      <c r="U28" s="1296"/>
      <c r="V28" s="1297">
        <f t="shared" ref="V28:AF28" si="15">IF($U22=0,0,((V26-Mast_KF_TM1)*Mast_GF_nXP1+Mast_KF_TM1*Mast_KF_nXP1-V25^0.524*16.9)/IF(Mast_Rasse=1,(369+0.249*V25-0.0004*V25^2),IF(Mast_Rasse=2,(193.4*V25^0.1435),(264+0.492*V25-0.00103*V25^2)))*1000)</f>
        <v>0</v>
      </c>
      <c r="W28" s="1298">
        <f t="shared" si="15"/>
        <v>0</v>
      </c>
      <c r="X28" s="1298">
        <f t="shared" si="15"/>
        <v>0</v>
      </c>
      <c r="Y28" s="1298">
        <f t="shared" si="15"/>
        <v>0</v>
      </c>
      <c r="Z28" s="1298">
        <f t="shared" si="15"/>
        <v>0</v>
      </c>
      <c r="AA28" s="1298">
        <f t="shared" si="15"/>
        <v>0</v>
      </c>
      <c r="AB28" s="1298">
        <f t="shared" si="15"/>
        <v>0</v>
      </c>
      <c r="AC28" s="1298">
        <f t="shared" si="15"/>
        <v>0</v>
      </c>
      <c r="AD28" s="1298">
        <f t="shared" si="15"/>
        <v>0</v>
      </c>
      <c r="AE28" s="1298">
        <f t="shared" si="15"/>
        <v>0</v>
      </c>
      <c r="AF28" s="1299">
        <f t="shared" si="15"/>
        <v>0</v>
      </c>
      <c r="AG28" s="1223"/>
      <c r="AH28" s="1112"/>
      <c r="AZ28" s="1154"/>
      <c r="CE28" s="1070"/>
      <c r="CF28" s="1070"/>
      <c r="CG28" s="1070"/>
      <c r="CH28" s="1070"/>
      <c r="CI28" s="1070"/>
      <c r="CJ28" s="1070"/>
      <c r="CK28" s="1070"/>
      <c r="CL28" s="1070"/>
      <c r="CM28" s="1070"/>
    </row>
    <row r="29" spans="1:91" s="1155" customFormat="1" ht="18.75" customHeight="1" thickBot="1" x14ac:dyDescent="0.25">
      <c r="A29" s="1147"/>
      <c r="B29" s="1223"/>
      <c r="C29" s="1223"/>
      <c r="D29" s="1223"/>
      <c r="E29" s="1223"/>
      <c r="F29" s="1223"/>
      <c r="G29" s="1223"/>
      <c r="H29" s="1223"/>
      <c r="I29" s="1223"/>
      <c r="J29" s="1223"/>
      <c r="K29" s="1223"/>
      <c r="L29" s="1223"/>
      <c r="M29" s="1223"/>
      <c r="N29" s="1223"/>
      <c r="O29" s="1223"/>
      <c r="P29" s="1223"/>
      <c r="Q29" s="1223"/>
      <c r="R29" s="1268" t="s">
        <v>387</v>
      </c>
      <c r="S29" s="1300"/>
      <c r="T29" s="1300"/>
      <c r="U29" s="1301" t="str">
        <f>IF(Mast_GF_TM1=0,"",IF(COUNTIF(S10:S22,"&gt;0")&lt;&gt;COUNTIF(U10:U22,"&gt;0"),"Daten!",""))</f>
        <v/>
      </c>
      <c r="V29" s="1302">
        <f t="shared" ref="V29:AE29" si="16">(V26-SUM($U$18:$U$20))*$AG$16+SUM($U$18:$U$20)*$AG$24</f>
        <v>0</v>
      </c>
      <c r="W29" s="1303">
        <f t="shared" si="16"/>
        <v>0</v>
      </c>
      <c r="X29" s="1303">
        <f t="shared" si="16"/>
        <v>0</v>
      </c>
      <c r="Y29" s="1303">
        <f t="shared" si="16"/>
        <v>0</v>
      </c>
      <c r="Z29" s="1303">
        <f t="shared" si="16"/>
        <v>0</v>
      </c>
      <c r="AA29" s="1303">
        <f t="shared" si="16"/>
        <v>0</v>
      </c>
      <c r="AB29" s="1303">
        <f t="shared" si="16"/>
        <v>0</v>
      </c>
      <c r="AC29" s="1303">
        <f t="shared" si="16"/>
        <v>0</v>
      </c>
      <c r="AD29" s="1303">
        <f t="shared" si="16"/>
        <v>0</v>
      </c>
      <c r="AE29" s="1303">
        <f t="shared" si="16"/>
        <v>0</v>
      </c>
      <c r="AF29" s="1304">
        <f>(AF26-SUM($U$18:$U$20))*$AG$16+SUM($U$18:$U$20)*$AG$24</f>
        <v>0</v>
      </c>
      <c r="AG29" s="1223"/>
      <c r="AH29" s="1112"/>
      <c r="AZ29" s="1154"/>
      <c r="CE29" s="1070"/>
      <c r="CF29" s="1070"/>
      <c r="CG29" s="1070"/>
      <c r="CH29" s="1070"/>
      <c r="CI29" s="1070"/>
      <c r="CJ29" s="1070"/>
      <c r="CK29" s="1070"/>
      <c r="CL29" s="1070"/>
      <c r="CM29" s="1070"/>
    </row>
    <row r="30" spans="1:91" s="1113" customFormat="1" x14ac:dyDescent="0.2">
      <c r="A30" s="1111"/>
      <c r="B30" s="1070"/>
      <c r="C30" s="1070"/>
      <c r="D30" s="1070"/>
      <c r="E30" s="1070"/>
      <c r="F30" s="1070"/>
      <c r="G30" s="1070"/>
      <c r="H30" s="1070"/>
      <c r="I30" s="1070"/>
      <c r="J30" s="1070"/>
      <c r="K30" s="1070"/>
      <c r="L30" s="1070"/>
      <c r="M30" s="1070"/>
      <c r="N30" s="1223"/>
      <c r="O30" s="1223"/>
      <c r="P30" s="1223"/>
      <c r="Q30" s="1223"/>
      <c r="R30" s="1223"/>
      <c r="S30" s="1223"/>
      <c r="T30" s="1223"/>
      <c r="U30" s="1223"/>
      <c r="V30" s="1223"/>
      <c r="W30" s="1223"/>
      <c r="X30" s="1223"/>
      <c r="Y30" s="1223"/>
      <c r="Z30" s="1223"/>
      <c r="AA30" s="1223"/>
      <c r="AB30" s="1223"/>
      <c r="AC30" s="1223"/>
      <c r="AD30" s="1223"/>
      <c r="AE30" s="1223"/>
      <c r="AF30" s="1223"/>
      <c r="AG30" s="1223"/>
      <c r="AH30" s="1305"/>
      <c r="AJ30" s="1155">
        <v>325</v>
      </c>
      <c r="AK30" s="1166">
        <f>AJ30^0.524*16.9</f>
        <v>350.03670396963315</v>
      </c>
      <c r="AL30" s="1155">
        <f>AJ30</f>
        <v>325</v>
      </c>
      <c r="AM30" s="1166" t="e">
        <f>(AU30*1.05-$AK30)/#REF!*1000</f>
        <v>#REF!</v>
      </c>
      <c r="AN30" s="1166" t="e">
        <f>(AV30*1.05-$AK30)/#REF!*1000</f>
        <v>#REF!</v>
      </c>
      <c r="AO30" s="1166" t="e">
        <f>(AW30*1.05-$AK30)/#REF!*1000</f>
        <v>#REF!</v>
      </c>
      <c r="AP30" s="1166" t="e">
        <f>(AX30*1.05-$AK30)/#REF!*1000</f>
        <v>#REF!</v>
      </c>
      <c r="AQ30" s="1166" t="e">
        <f>(AY30*1.05-$AK30)/#REF!*1000</f>
        <v>#REF!</v>
      </c>
      <c r="AR30" s="1306"/>
      <c r="AS30" s="1166" t="e">
        <f>AVERAGE(AM30:AR30)</f>
        <v>#REF!</v>
      </c>
      <c r="AT30" s="1166" t="e">
        <f>MAX(AM30:AR30)-AS30</f>
        <v>#REF!</v>
      </c>
      <c r="AU30" s="1113">
        <v>577</v>
      </c>
      <c r="AV30" s="1113">
        <v>656</v>
      </c>
      <c r="AW30" s="1113">
        <v>727</v>
      </c>
      <c r="AX30" s="1113">
        <v>782</v>
      </c>
      <c r="AY30" s="1113">
        <v>823</v>
      </c>
      <c r="CE30" s="818"/>
      <c r="CF30" s="818"/>
      <c r="CG30" s="818"/>
      <c r="CH30" s="818"/>
      <c r="CI30" s="818"/>
      <c r="CJ30" s="818"/>
      <c r="CK30" s="818"/>
      <c r="CL30" s="818"/>
      <c r="CM30" s="818"/>
    </row>
    <row r="31" spans="1:91" s="1113" customFormat="1" ht="12.75" thickBot="1" x14ac:dyDescent="0.25">
      <c r="A31" s="1307"/>
      <c r="B31" s="1308"/>
      <c r="C31" s="1308"/>
      <c r="D31" s="1308"/>
      <c r="E31" s="1308"/>
      <c r="F31" s="1308"/>
      <c r="G31" s="1309"/>
      <c r="H31" s="1309"/>
      <c r="I31" s="1309"/>
      <c r="J31" s="1309"/>
      <c r="K31" s="1309"/>
      <c r="L31" s="1309"/>
      <c r="M31" s="1309"/>
      <c r="N31" s="1310"/>
      <c r="O31" s="1310"/>
      <c r="P31" s="1310"/>
      <c r="Q31" s="1310"/>
      <c r="R31" s="1310"/>
      <c r="S31" s="1310"/>
      <c r="T31" s="1310"/>
      <c r="U31" s="1310"/>
      <c r="V31" s="1310"/>
      <c r="W31" s="1310"/>
      <c r="X31" s="1310"/>
      <c r="Y31" s="1310"/>
      <c r="Z31" s="1310"/>
      <c r="AA31" s="1310"/>
      <c r="AB31" s="1310"/>
      <c r="AC31" s="1310"/>
      <c r="AD31" s="1310"/>
      <c r="AE31" s="1310"/>
      <c r="AF31" s="1310"/>
      <c r="AG31" s="1310"/>
      <c r="AH31" s="1311"/>
      <c r="AI31" s="1155"/>
      <c r="AJ31" s="1166"/>
      <c r="AK31" s="1155" t="s">
        <v>288</v>
      </c>
      <c r="AL31" s="1155"/>
      <c r="AM31" s="1155"/>
      <c r="AN31" s="1155"/>
      <c r="AO31" s="1155"/>
      <c r="AP31" s="1155"/>
      <c r="AQ31" s="1155"/>
      <c r="AR31" s="1155"/>
      <c r="AS31" s="1155">
        <v>263.89999999999998</v>
      </c>
      <c r="AT31" s="1155"/>
      <c r="CE31" s="818"/>
      <c r="CF31" s="818"/>
      <c r="CG31" s="818"/>
      <c r="CH31" s="818"/>
      <c r="CI31" s="818"/>
      <c r="CJ31" s="818"/>
      <c r="CK31" s="818"/>
      <c r="CL31" s="818"/>
      <c r="CM31" s="818"/>
    </row>
    <row r="32" spans="1:91" ht="12.75" thickTop="1" x14ac:dyDescent="0.2">
      <c r="B32" s="89"/>
      <c r="C32" s="165"/>
      <c r="D32" s="89"/>
      <c r="E32" s="89"/>
      <c r="F32" s="89"/>
      <c r="G32" s="124"/>
      <c r="H32" s="124"/>
      <c r="I32" s="124"/>
      <c r="J32" s="124"/>
      <c r="K32" s="124"/>
      <c r="L32" s="124"/>
      <c r="M32" s="124"/>
      <c r="N32" s="64"/>
      <c r="O32" s="64"/>
      <c r="P32" s="64"/>
      <c r="Q32" s="64"/>
      <c r="R32" s="64"/>
      <c r="S32" s="64"/>
      <c r="T32" s="64"/>
      <c r="U32" s="64"/>
      <c r="V32" s="64"/>
      <c r="W32" s="64"/>
      <c r="X32" s="64"/>
      <c r="Y32" s="64"/>
      <c r="Z32" s="64"/>
      <c r="AA32" s="64"/>
      <c r="AB32" s="64"/>
      <c r="AC32" s="64"/>
      <c r="AD32" s="64"/>
      <c r="AE32" s="64"/>
      <c r="AF32" s="64"/>
      <c r="AG32" s="64"/>
      <c r="AH32" s="64"/>
      <c r="AI32" s="137"/>
      <c r="AJ32" s="139"/>
      <c r="AK32" s="136" t="s">
        <v>289</v>
      </c>
      <c r="AL32" s="137"/>
      <c r="AO32" s="137"/>
      <c r="AP32" s="137"/>
      <c r="AQ32" s="137"/>
      <c r="AR32" s="137"/>
      <c r="AS32" s="137">
        <v>0.49199999999999999</v>
      </c>
      <c r="AT32" s="137"/>
    </row>
    <row r="33" spans="2:53" x14ac:dyDescent="0.2">
      <c r="B33" s="89"/>
      <c r="C33" s="165"/>
      <c r="D33" s="89"/>
      <c r="E33" s="89"/>
      <c r="F33" s="89"/>
      <c r="G33" s="124"/>
      <c r="H33" s="124"/>
      <c r="I33" s="124"/>
      <c r="J33" s="124"/>
      <c r="K33" s="124"/>
      <c r="L33" s="124"/>
      <c r="M33" s="124"/>
      <c r="N33" s="64"/>
      <c r="O33" s="64"/>
      <c r="P33" s="64"/>
      <c r="Q33" s="64"/>
      <c r="R33" s="64"/>
      <c r="S33" s="64"/>
      <c r="T33" s="64"/>
      <c r="U33" s="64"/>
      <c r="V33" s="64"/>
      <c r="W33" s="64"/>
      <c r="X33" s="64"/>
      <c r="Y33" s="64"/>
      <c r="Z33" s="64"/>
      <c r="AA33" s="64"/>
      <c r="AB33" s="64"/>
      <c r="AC33" s="64"/>
      <c r="AD33" s="64"/>
      <c r="AE33" s="64"/>
      <c r="AF33" s="64"/>
      <c r="AG33" s="64"/>
      <c r="AH33" s="64"/>
      <c r="AI33" s="136" t="s">
        <v>238</v>
      </c>
      <c r="AJ33" s="136" t="s">
        <v>246</v>
      </c>
      <c r="AK33" s="136" t="s">
        <v>242</v>
      </c>
      <c r="AL33" s="136">
        <f t="shared" ref="AL33:AR33" si="17">AL31*EXP(AL32*$U$3)</f>
        <v>0</v>
      </c>
      <c r="AM33" s="136">
        <f t="shared" si="17"/>
        <v>0</v>
      </c>
      <c r="AN33" s="136">
        <f t="shared" si="17"/>
        <v>0</v>
      </c>
      <c r="AO33" s="136">
        <f t="shared" si="17"/>
        <v>0</v>
      </c>
      <c r="AP33" s="136">
        <f t="shared" si="17"/>
        <v>0</v>
      </c>
      <c r="AQ33" s="136">
        <f t="shared" si="17"/>
        <v>0</v>
      </c>
      <c r="AR33" s="136">
        <f t="shared" si="17"/>
        <v>0</v>
      </c>
      <c r="AS33" s="136">
        <v>-1.0300000000000001E-3</v>
      </c>
    </row>
    <row r="34" spans="2:53" x14ac:dyDescent="0.2">
      <c r="B34" s="89"/>
      <c r="C34" s="165"/>
      <c r="D34" s="89"/>
      <c r="E34" s="89"/>
      <c r="F34" s="89"/>
      <c r="G34" s="124"/>
      <c r="H34" s="124"/>
      <c r="I34" s="124"/>
      <c r="J34" s="124"/>
      <c r="K34" s="124"/>
      <c r="L34" s="124"/>
      <c r="M34" s="124"/>
      <c r="N34" s="64"/>
      <c r="O34" s="64"/>
      <c r="P34" s="64"/>
      <c r="Q34" s="64"/>
      <c r="R34" s="64"/>
      <c r="S34" s="64"/>
      <c r="T34" s="64"/>
      <c r="U34" s="64"/>
      <c r="V34" s="64"/>
      <c r="W34" s="64"/>
      <c r="X34" s="64"/>
      <c r="Y34" s="64"/>
      <c r="Z34" s="64"/>
      <c r="AA34" s="64"/>
      <c r="AB34" s="64"/>
      <c r="AC34" s="64"/>
      <c r="AD34" s="64"/>
      <c r="AE34" s="64"/>
      <c r="AF34" s="64"/>
      <c r="AG34" s="64"/>
      <c r="AH34" s="64"/>
      <c r="AI34" s="137" t="s">
        <v>239</v>
      </c>
      <c r="AJ34" s="137" t="s">
        <v>240</v>
      </c>
      <c r="AL34" s="137">
        <v>400</v>
      </c>
      <c r="AM34" s="137">
        <v>500</v>
      </c>
      <c r="AN34" s="137">
        <v>600</v>
      </c>
      <c r="AO34" s="137">
        <v>700</v>
      </c>
      <c r="AP34" s="137">
        <v>800</v>
      </c>
      <c r="AQ34" s="137">
        <v>900</v>
      </c>
      <c r="AR34" s="137">
        <v>1000</v>
      </c>
      <c r="AS34" s="137" t="s">
        <v>287</v>
      </c>
      <c r="AT34" s="137"/>
      <c r="AU34" s="137">
        <f t="shared" ref="AU34:AZ34" si="18">AL34</f>
        <v>400</v>
      </c>
      <c r="AV34" s="137">
        <f t="shared" si="18"/>
        <v>500</v>
      </c>
      <c r="AW34" s="137">
        <f t="shared" si="18"/>
        <v>600</v>
      </c>
      <c r="AX34" s="137">
        <f t="shared" si="18"/>
        <v>700</v>
      </c>
      <c r="AY34" s="137">
        <f t="shared" si="18"/>
        <v>800</v>
      </c>
      <c r="AZ34" s="137">
        <f t="shared" si="18"/>
        <v>900</v>
      </c>
      <c r="BA34" s="137">
        <v>1000</v>
      </c>
    </row>
    <row r="35" spans="2:53" x14ac:dyDescent="0.2">
      <c r="B35" s="89"/>
      <c r="C35" s="165"/>
      <c r="D35" s="89"/>
      <c r="E35" s="89"/>
      <c r="F35" s="89"/>
      <c r="G35" s="124"/>
      <c r="H35" s="124"/>
      <c r="I35" s="124"/>
      <c r="J35" s="124"/>
      <c r="K35" s="124"/>
      <c r="L35" s="124"/>
      <c r="M35" s="124"/>
      <c r="N35" s="64"/>
      <c r="O35" s="64"/>
      <c r="P35" s="64"/>
      <c r="Q35" s="64"/>
      <c r="R35" s="64"/>
      <c r="S35" s="64"/>
      <c r="T35" s="64"/>
      <c r="U35" s="64"/>
      <c r="V35" s="64"/>
      <c r="W35" s="64"/>
      <c r="X35" s="64"/>
      <c r="Y35" s="64"/>
      <c r="Z35" s="64"/>
      <c r="AA35" s="64"/>
      <c r="AB35" s="64"/>
      <c r="AC35" s="64"/>
      <c r="AD35" s="64"/>
      <c r="AE35" s="64"/>
      <c r="AF35" s="64"/>
      <c r="AG35" s="64"/>
      <c r="AH35" s="64"/>
      <c r="AI35" s="137">
        <v>150</v>
      </c>
      <c r="AJ35" s="139">
        <f>AI35^0.524*16.9</f>
        <v>233.43099668718983</v>
      </c>
      <c r="AK35" s="139">
        <f>AI35</f>
        <v>150</v>
      </c>
      <c r="AL35" s="154"/>
      <c r="AM35" s="139">
        <f t="shared" ref="AM35:AM43" si="19">(AV35*1-$AJ35)/AM$34*1000</f>
        <v>301.13800662562033</v>
      </c>
      <c r="AN35" s="154"/>
      <c r="AO35" s="154"/>
      <c r="AP35" s="139">
        <f t="shared" ref="AP35:AP43" si="20">(AY35*1-$AJ35)/AP$34*1000</f>
        <v>320.71125414101277</v>
      </c>
      <c r="AQ35" s="154"/>
      <c r="AR35" s="154"/>
      <c r="AS35" s="154">
        <f>AVERAGE(AL35:AR35)</f>
        <v>310.92463038331653</v>
      </c>
      <c r="AT35" s="139">
        <f>MAX(AM35:AR35)-AS35</f>
        <v>9.7866237576962476</v>
      </c>
      <c r="AV35" s="136">
        <v>384</v>
      </c>
      <c r="AY35" s="136">
        <v>490</v>
      </c>
    </row>
    <row r="36" spans="2:53" x14ac:dyDescent="0.2">
      <c r="B36" s="89"/>
      <c r="C36" s="165"/>
      <c r="D36" s="89"/>
      <c r="E36" s="89"/>
      <c r="F36" s="89"/>
      <c r="G36" s="124"/>
      <c r="H36" s="124"/>
      <c r="I36" s="124"/>
      <c r="J36" s="124"/>
      <c r="K36" s="124"/>
      <c r="L36" s="124"/>
      <c r="M36" s="124"/>
      <c r="N36" s="64"/>
      <c r="O36" s="64"/>
      <c r="P36" s="64"/>
      <c r="Q36" s="64"/>
      <c r="R36" s="64"/>
      <c r="S36" s="64"/>
      <c r="T36" s="64"/>
      <c r="U36" s="64"/>
      <c r="V36" s="64"/>
      <c r="W36" s="64"/>
      <c r="X36" s="64"/>
      <c r="Y36" s="64"/>
      <c r="Z36" s="64"/>
      <c r="AA36" s="64"/>
      <c r="AB36" s="64"/>
      <c r="AC36" s="64"/>
      <c r="AD36" s="64"/>
      <c r="AE36" s="64"/>
      <c r="AF36" s="64"/>
      <c r="AG36" s="64"/>
      <c r="AH36" s="64"/>
      <c r="AI36" s="137">
        <v>200</v>
      </c>
      <c r="AJ36" s="139">
        <f t="shared" ref="AJ36:AJ43" si="21">AI36^0.524*16.9</f>
        <v>271.41036078404352</v>
      </c>
      <c r="AK36" s="139">
        <f t="shared" ref="AK36:AK43" si="22">AI36</f>
        <v>200</v>
      </c>
      <c r="AL36" s="154"/>
      <c r="AM36" s="139">
        <f t="shared" si="19"/>
        <v>319.17927843191296</v>
      </c>
      <c r="AN36" s="154"/>
      <c r="AO36" s="154"/>
      <c r="AP36" s="139">
        <f t="shared" si="20"/>
        <v>325.73704901994563</v>
      </c>
      <c r="AQ36" s="154"/>
      <c r="AR36" s="154"/>
      <c r="AS36" s="154">
        <f t="shared" ref="AS36:AS43" si="23">AVERAGE(AL36:AR36)</f>
        <v>322.4581637259293</v>
      </c>
      <c r="AT36" s="139">
        <f t="shared" ref="AT36:AT42" si="24">MAX(AM36:AR36)-AS36</f>
        <v>3.2788852940163338</v>
      </c>
      <c r="AV36" s="136">
        <v>431</v>
      </c>
      <c r="AY36" s="136">
        <v>532</v>
      </c>
    </row>
    <row r="37" spans="2:53" x14ac:dyDescent="0.2">
      <c r="B37" s="89"/>
      <c r="C37" s="165"/>
      <c r="D37" s="89"/>
      <c r="E37" s="89"/>
      <c r="F37" s="89"/>
      <c r="G37" s="124"/>
      <c r="H37" s="124"/>
      <c r="I37" s="124"/>
      <c r="J37" s="124"/>
      <c r="K37" s="124"/>
      <c r="L37" s="124"/>
      <c r="M37" s="124"/>
      <c r="N37" s="64"/>
      <c r="O37" s="64"/>
      <c r="P37" s="64"/>
      <c r="Q37" s="64"/>
      <c r="R37" s="64"/>
      <c r="S37" s="64"/>
      <c r="T37" s="64"/>
      <c r="U37" s="64"/>
      <c r="V37" s="64"/>
      <c r="W37" s="64"/>
      <c r="X37" s="64"/>
      <c r="Y37" s="64"/>
      <c r="Z37" s="64"/>
      <c r="AA37" s="64"/>
      <c r="AB37" s="64"/>
      <c r="AC37" s="64"/>
      <c r="AD37" s="64"/>
      <c r="AE37" s="64"/>
      <c r="AF37" s="64"/>
      <c r="AG37" s="64"/>
      <c r="AH37" s="64"/>
      <c r="AI37" s="137">
        <v>250</v>
      </c>
      <c r="AJ37" s="139">
        <f t="shared" si="21"/>
        <v>305.07545604809326</v>
      </c>
      <c r="AK37" s="139">
        <f t="shared" si="22"/>
        <v>250</v>
      </c>
      <c r="AL37" s="154"/>
      <c r="AM37" s="139">
        <f t="shared" si="19"/>
        <v>331.84908790381348</v>
      </c>
      <c r="AN37" s="154"/>
      <c r="AO37" s="154"/>
      <c r="AP37" s="139">
        <f t="shared" si="20"/>
        <v>321.15567993988344</v>
      </c>
      <c r="AQ37" s="154"/>
      <c r="AR37" s="154"/>
      <c r="AS37" s="154">
        <f t="shared" si="23"/>
        <v>326.50238392184849</v>
      </c>
      <c r="AT37" s="139">
        <f t="shared" si="24"/>
        <v>5.3467039819649926</v>
      </c>
      <c r="AV37" s="136">
        <v>471</v>
      </c>
      <c r="AY37" s="136">
        <v>562</v>
      </c>
    </row>
    <row r="38" spans="2:53" x14ac:dyDescent="0.2">
      <c r="B38" s="89"/>
      <c r="C38" s="165"/>
      <c r="D38" s="89"/>
      <c r="E38" s="89"/>
      <c r="F38" s="89"/>
      <c r="G38" s="124"/>
      <c r="H38" s="124"/>
      <c r="I38" s="124"/>
      <c r="J38" s="124"/>
      <c r="K38" s="124"/>
      <c r="L38" s="124"/>
      <c r="M38" s="124"/>
      <c r="N38" s="64"/>
      <c r="O38" s="64"/>
      <c r="P38" s="64"/>
      <c r="Q38" s="64"/>
      <c r="R38" s="64"/>
      <c r="S38" s="64"/>
      <c r="T38" s="64"/>
      <c r="U38" s="64"/>
      <c r="V38" s="64"/>
      <c r="W38" s="64"/>
      <c r="X38" s="64"/>
      <c r="Y38" s="64"/>
      <c r="Z38" s="64"/>
      <c r="AA38" s="64"/>
      <c r="AB38" s="64"/>
      <c r="AC38" s="64"/>
      <c r="AD38" s="64"/>
      <c r="AE38" s="64"/>
      <c r="AF38" s="64"/>
      <c r="AG38" s="64"/>
      <c r="AH38" s="64"/>
      <c r="AI38" s="137">
        <v>300</v>
      </c>
      <c r="AJ38" s="139">
        <f t="shared" si="21"/>
        <v>335.65895803538746</v>
      </c>
      <c r="AK38" s="139">
        <f t="shared" si="22"/>
        <v>300</v>
      </c>
      <c r="AL38" s="154"/>
      <c r="AM38" s="139">
        <f t="shared" si="19"/>
        <v>330.68208392922509</v>
      </c>
      <c r="AN38" s="154"/>
      <c r="AO38" s="154"/>
      <c r="AP38" s="139">
        <f t="shared" si="20"/>
        <v>311.67630245576566</v>
      </c>
      <c r="AQ38" s="154"/>
      <c r="AR38" s="154"/>
      <c r="AS38" s="154">
        <f t="shared" si="23"/>
        <v>321.1791931924954</v>
      </c>
      <c r="AT38" s="139">
        <f t="shared" si="24"/>
        <v>9.5028907367296824</v>
      </c>
      <c r="AV38" s="136">
        <v>501</v>
      </c>
      <c r="AY38" s="136">
        <v>585</v>
      </c>
    </row>
    <row r="39" spans="2:53" x14ac:dyDescent="0.2">
      <c r="B39" s="89"/>
      <c r="C39" s="165"/>
      <c r="D39" s="89"/>
      <c r="E39" s="89"/>
      <c r="F39" s="89"/>
      <c r="G39" s="124"/>
      <c r="H39" s="124"/>
      <c r="I39" s="124"/>
      <c r="J39" s="124"/>
      <c r="K39" s="124"/>
      <c r="L39" s="124"/>
      <c r="M39" s="124"/>
      <c r="N39" s="64"/>
      <c r="O39" s="64"/>
      <c r="P39" s="64"/>
      <c r="Q39" s="64"/>
      <c r="R39" s="64"/>
      <c r="S39" s="64"/>
      <c r="T39" s="64"/>
      <c r="U39" s="64"/>
      <c r="V39" s="64"/>
      <c r="W39" s="64"/>
      <c r="X39" s="64"/>
      <c r="Y39" s="64"/>
      <c r="Z39" s="64"/>
      <c r="AA39" s="64"/>
      <c r="AB39" s="64"/>
      <c r="AC39" s="64"/>
      <c r="AD39" s="64"/>
      <c r="AE39" s="64"/>
      <c r="AF39" s="64"/>
      <c r="AG39" s="64"/>
      <c r="AH39" s="64"/>
      <c r="AI39" s="137">
        <v>350</v>
      </c>
      <c r="AJ39" s="139">
        <f t="shared" si="21"/>
        <v>363.89690331887954</v>
      </c>
      <c r="AK39" s="139">
        <f t="shared" si="22"/>
        <v>350</v>
      </c>
      <c r="AL39" s="154"/>
      <c r="AM39" s="139">
        <f t="shared" si="19"/>
        <v>318.20619336224092</v>
      </c>
      <c r="AN39" s="154"/>
      <c r="AO39" s="154"/>
      <c r="AP39" s="139">
        <f t="shared" si="20"/>
        <v>300.12887085140056</v>
      </c>
      <c r="AQ39" s="154"/>
      <c r="AR39" s="154"/>
      <c r="AS39" s="154">
        <f t="shared" si="23"/>
        <v>309.16753210682077</v>
      </c>
      <c r="AT39" s="139">
        <f t="shared" si="24"/>
        <v>9.038661255420152</v>
      </c>
      <c r="AV39" s="136">
        <v>523</v>
      </c>
      <c r="AY39" s="136">
        <v>604</v>
      </c>
    </row>
    <row r="40" spans="2:53" x14ac:dyDescent="0.2">
      <c r="B40" s="89"/>
      <c r="C40" s="165"/>
      <c r="D40" s="89"/>
      <c r="E40" s="89"/>
      <c r="F40" s="89"/>
      <c r="G40" s="124"/>
      <c r="H40" s="124"/>
      <c r="I40" s="124"/>
      <c r="J40" s="124"/>
      <c r="K40" s="124"/>
      <c r="L40" s="124"/>
      <c r="M40" s="124"/>
      <c r="N40" s="64"/>
      <c r="O40" s="64"/>
      <c r="P40" s="64"/>
      <c r="Q40" s="64"/>
      <c r="R40" s="64"/>
      <c r="S40" s="64"/>
      <c r="T40" s="64"/>
      <c r="U40" s="64"/>
      <c r="V40" s="64"/>
      <c r="W40" s="64"/>
      <c r="X40" s="64"/>
      <c r="Y40" s="64"/>
      <c r="Z40" s="64"/>
      <c r="AA40" s="64"/>
      <c r="AB40" s="64"/>
      <c r="AC40" s="64"/>
      <c r="AD40" s="64"/>
      <c r="AE40" s="64"/>
      <c r="AF40" s="64"/>
      <c r="AG40" s="64"/>
      <c r="AH40" s="64"/>
      <c r="AI40" s="137">
        <v>400</v>
      </c>
      <c r="AJ40" s="139">
        <f t="shared" si="21"/>
        <v>390.2708731645493</v>
      </c>
      <c r="AK40" s="139">
        <f t="shared" si="22"/>
        <v>400</v>
      </c>
      <c r="AL40" s="154"/>
      <c r="AM40" s="139">
        <f t="shared" si="19"/>
        <v>307.4582536709014</v>
      </c>
      <c r="AN40" s="154"/>
      <c r="AO40" s="154"/>
      <c r="AP40" s="139">
        <f t="shared" si="20"/>
        <v>284.66140854431336</v>
      </c>
      <c r="AQ40" s="154"/>
      <c r="AR40" s="154"/>
      <c r="AS40" s="154">
        <f t="shared" si="23"/>
        <v>296.05983110760735</v>
      </c>
      <c r="AT40" s="139">
        <f t="shared" si="24"/>
        <v>11.398422563294048</v>
      </c>
      <c r="AV40" s="136">
        <v>544</v>
      </c>
      <c r="AY40" s="136">
        <v>618</v>
      </c>
    </row>
    <row r="41" spans="2:53" x14ac:dyDescent="0.2">
      <c r="B41" s="89"/>
      <c r="C41" s="165"/>
      <c r="D41" s="89"/>
      <c r="E41" s="89"/>
      <c r="F41" s="89"/>
      <c r="G41" s="124"/>
      <c r="H41" s="124"/>
      <c r="I41" s="124"/>
      <c r="J41" s="124"/>
      <c r="K41" s="124"/>
      <c r="L41" s="124"/>
      <c r="M41" s="124"/>
      <c r="N41" s="64"/>
      <c r="O41" s="64"/>
      <c r="P41" s="64"/>
      <c r="Q41" s="64"/>
      <c r="R41" s="64"/>
      <c r="S41" s="64"/>
      <c r="T41" s="64"/>
      <c r="U41" s="64"/>
      <c r="V41" s="64"/>
      <c r="W41" s="64"/>
      <c r="X41" s="64"/>
      <c r="Y41" s="64"/>
      <c r="Z41" s="64"/>
      <c r="AA41" s="64"/>
      <c r="AB41" s="64"/>
      <c r="AC41" s="64"/>
      <c r="AD41" s="64"/>
      <c r="AE41" s="64"/>
      <c r="AF41" s="64"/>
      <c r="AG41" s="64"/>
      <c r="AH41" s="64"/>
      <c r="AI41" s="137">
        <v>450</v>
      </c>
      <c r="AJ41" s="139">
        <f t="shared" si="21"/>
        <v>415.11656291945724</v>
      </c>
      <c r="AK41" s="139">
        <f t="shared" si="22"/>
        <v>450</v>
      </c>
      <c r="AL41" s="154"/>
      <c r="AM41" s="139">
        <f t="shared" si="19"/>
        <v>283.76687416108552</v>
      </c>
      <c r="AN41" s="154"/>
      <c r="AO41" s="154"/>
      <c r="AP41" s="139">
        <f t="shared" si="20"/>
        <v>267.35429635067845</v>
      </c>
      <c r="AQ41" s="154"/>
      <c r="AR41" s="154"/>
      <c r="AS41" s="154">
        <f t="shared" si="23"/>
        <v>275.56058525588196</v>
      </c>
      <c r="AT41" s="139">
        <f t="shared" si="24"/>
        <v>8.2062889052035644</v>
      </c>
      <c r="AV41" s="136">
        <v>557</v>
      </c>
      <c r="AY41" s="136">
        <v>629</v>
      </c>
    </row>
    <row r="42" spans="2:53" x14ac:dyDescent="0.2">
      <c r="B42" s="89"/>
      <c r="C42" s="165"/>
      <c r="D42" s="89"/>
      <c r="E42" s="89"/>
      <c r="F42" s="89"/>
      <c r="G42" s="124"/>
      <c r="H42" s="124"/>
      <c r="I42" s="124"/>
      <c r="J42" s="124"/>
      <c r="K42" s="124"/>
      <c r="L42" s="124"/>
      <c r="M42" s="124"/>
      <c r="N42" s="64"/>
      <c r="O42" s="64"/>
      <c r="P42" s="64"/>
      <c r="Q42" s="64"/>
      <c r="R42" s="64"/>
      <c r="S42" s="64"/>
      <c r="T42" s="64"/>
      <c r="U42" s="64"/>
      <c r="V42" s="64"/>
      <c r="W42" s="64"/>
      <c r="X42" s="64"/>
      <c r="Y42" s="64"/>
      <c r="Z42" s="64"/>
      <c r="AA42" s="64"/>
      <c r="AB42" s="64"/>
      <c r="AC42" s="64"/>
      <c r="AD42" s="64"/>
      <c r="AE42" s="64"/>
      <c r="AF42" s="64"/>
      <c r="AG42" s="64"/>
      <c r="AH42" s="64"/>
      <c r="AI42" s="137">
        <v>500</v>
      </c>
      <c r="AJ42" s="139">
        <f t="shared" si="21"/>
        <v>438.67914352649962</v>
      </c>
      <c r="AK42" s="139">
        <f t="shared" si="22"/>
        <v>500</v>
      </c>
      <c r="AL42" s="154"/>
      <c r="AM42" s="139">
        <f t="shared" si="19"/>
        <v>242.64171294700077</v>
      </c>
      <c r="AN42" s="154"/>
      <c r="AO42" s="154"/>
      <c r="AP42" s="139">
        <f t="shared" si="20"/>
        <v>247.90107059187548</v>
      </c>
      <c r="AQ42" s="154"/>
      <c r="AR42" s="154"/>
      <c r="AS42" s="154">
        <f t="shared" si="23"/>
        <v>245.27139176943814</v>
      </c>
      <c r="AT42" s="139">
        <f t="shared" si="24"/>
        <v>2.6296788224373415</v>
      </c>
      <c r="AV42" s="136">
        <v>560</v>
      </c>
      <c r="AY42" s="136">
        <v>637</v>
      </c>
    </row>
    <row r="43" spans="2:53" x14ac:dyDescent="0.2">
      <c r="B43" s="89"/>
      <c r="C43" s="165"/>
      <c r="D43" s="89"/>
      <c r="E43" s="89"/>
      <c r="F43" s="89"/>
      <c r="G43" s="124"/>
      <c r="H43" s="124"/>
      <c r="I43" s="124"/>
      <c r="J43" s="124"/>
      <c r="K43" s="124"/>
      <c r="L43" s="124"/>
      <c r="M43" s="124"/>
      <c r="N43" s="64"/>
      <c r="O43" s="64"/>
      <c r="P43" s="64"/>
      <c r="Q43" s="64"/>
      <c r="R43" s="64"/>
      <c r="S43" s="64"/>
      <c r="T43" s="64"/>
      <c r="U43" s="64"/>
      <c r="V43" s="64"/>
      <c r="W43" s="64"/>
      <c r="X43" s="64"/>
      <c r="Y43" s="64"/>
      <c r="Z43" s="64"/>
      <c r="AA43" s="64"/>
      <c r="AB43" s="64"/>
      <c r="AC43" s="64"/>
      <c r="AD43" s="64"/>
      <c r="AE43" s="64"/>
      <c r="AF43" s="64"/>
      <c r="AG43" s="64"/>
      <c r="AH43" s="64"/>
      <c r="AI43" s="137">
        <v>550</v>
      </c>
      <c r="AJ43" s="139">
        <f t="shared" si="21"/>
        <v>461.14420339845276</v>
      </c>
      <c r="AK43" s="139">
        <f t="shared" si="22"/>
        <v>550</v>
      </c>
      <c r="AL43" s="154"/>
      <c r="AM43" s="139">
        <f t="shared" si="19"/>
        <v>227.71159320309448</v>
      </c>
      <c r="AN43" s="154"/>
      <c r="AO43" s="154"/>
      <c r="AP43" s="139">
        <f t="shared" si="20"/>
        <v>232.31974575193405</v>
      </c>
      <c r="AQ43" s="154"/>
      <c r="AR43" s="154"/>
      <c r="AS43" s="154">
        <f t="shared" si="23"/>
        <v>230.01566947751428</v>
      </c>
      <c r="AT43" s="154"/>
      <c r="AV43" s="136">
        <v>575</v>
      </c>
      <c r="AY43" s="136">
        <v>647</v>
      </c>
    </row>
    <row r="44" spans="2:53" x14ac:dyDescent="0.2">
      <c r="B44" s="89"/>
      <c r="C44" s="165"/>
      <c r="D44" s="89"/>
      <c r="E44" s="89"/>
      <c r="F44" s="89"/>
      <c r="G44" s="124"/>
      <c r="H44" s="124"/>
      <c r="I44" s="124"/>
      <c r="J44" s="124"/>
      <c r="K44" s="124"/>
      <c r="L44" s="124"/>
      <c r="M44" s="124"/>
      <c r="N44" s="64"/>
      <c r="O44" s="64"/>
      <c r="P44" s="64"/>
      <c r="Q44" s="64"/>
      <c r="R44" s="64"/>
      <c r="S44" s="64"/>
      <c r="T44" s="64"/>
      <c r="U44" s="64"/>
      <c r="V44" s="64"/>
      <c r="W44" s="64"/>
      <c r="X44" s="64"/>
      <c r="Y44" s="64"/>
      <c r="Z44" s="64"/>
      <c r="AA44" s="64"/>
      <c r="AB44" s="64"/>
      <c r="AC44" s="64"/>
      <c r="AD44" s="64"/>
      <c r="AE44" s="64"/>
      <c r="AF44" s="64"/>
      <c r="AG44" s="64"/>
      <c r="AH44" s="64"/>
      <c r="AJ44" s="139"/>
      <c r="AM44" s="139"/>
    </row>
    <row r="45" spans="2:53" x14ac:dyDescent="0.2">
      <c r="B45" s="89"/>
      <c r="C45" s="165"/>
      <c r="D45" s="89"/>
      <c r="E45" s="89"/>
      <c r="F45" s="89"/>
      <c r="G45" s="124"/>
      <c r="H45" s="124"/>
      <c r="I45" s="124"/>
      <c r="J45" s="124"/>
      <c r="K45" s="124"/>
      <c r="L45" s="124"/>
      <c r="M45" s="124"/>
      <c r="N45" s="64"/>
      <c r="O45" s="64"/>
      <c r="P45" s="64"/>
      <c r="Q45" s="64"/>
      <c r="R45" s="64"/>
      <c r="S45" s="64"/>
      <c r="T45" s="64"/>
      <c r="U45" s="64"/>
      <c r="V45" s="64"/>
      <c r="W45" s="64"/>
      <c r="X45" s="64"/>
      <c r="Y45" s="64"/>
      <c r="Z45" s="64"/>
      <c r="AA45" s="64"/>
      <c r="AB45" s="64"/>
      <c r="AC45" s="64"/>
      <c r="AD45" s="64"/>
      <c r="AE45" s="64"/>
      <c r="AF45" s="64"/>
      <c r="AG45" s="64"/>
      <c r="AH45" s="64"/>
      <c r="AJ45" s="155"/>
    </row>
    <row r="46" spans="2:53" x14ac:dyDescent="0.2">
      <c r="B46" s="89"/>
      <c r="C46" s="165"/>
      <c r="D46" s="89"/>
      <c r="E46" s="89"/>
      <c r="F46" s="89"/>
      <c r="G46" s="124"/>
      <c r="H46" s="124"/>
      <c r="I46" s="124"/>
      <c r="J46" s="124"/>
      <c r="K46" s="124"/>
      <c r="L46" s="124"/>
      <c r="M46" s="124"/>
      <c r="N46" s="64"/>
      <c r="O46" s="64"/>
      <c r="P46" s="64"/>
      <c r="Q46" s="64"/>
      <c r="R46" s="64"/>
      <c r="S46" s="64"/>
      <c r="T46" s="64"/>
      <c r="U46" s="64"/>
      <c r="V46" s="64"/>
      <c r="W46" s="64"/>
      <c r="X46" s="64"/>
      <c r="Y46" s="64"/>
      <c r="Z46" s="64"/>
      <c r="AA46" s="64"/>
      <c r="AB46" s="64"/>
      <c r="AC46" s="64"/>
      <c r="AD46" s="64"/>
      <c r="AE46" s="64"/>
      <c r="AF46" s="64"/>
      <c r="AG46" s="64"/>
      <c r="AH46" s="64"/>
    </row>
    <row r="47" spans="2:53" ht="12.75" thickBot="1" x14ac:dyDescent="0.25">
      <c r="B47" s="89"/>
      <c r="C47" s="165"/>
      <c r="D47" s="89"/>
      <c r="E47" s="89"/>
      <c r="F47" s="89"/>
      <c r="G47" s="124"/>
      <c r="H47" s="124"/>
      <c r="I47" s="124"/>
      <c r="J47" s="124"/>
      <c r="K47" s="124"/>
      <c r="L47" s="124"/>
      <c r="M47" s="124"/>
      <c r="N47" s="64"/>
      <c r="O47" s="64"/>
      <c r="P47" s="64"/>
      <c r="Q47" s="64"/>
      <c r="R47" s="64"/>
      <c r="S47" s="64"/>
      <c r="T47" s="64"/>
      <c r="U47" s="64"/>
      <c r="V47" s="64"/>
      <c r="W47" s="64"/>
      <c r="X47" s="64"/>
      <c r="Y47" s="64"/>
      <c r="Z47" s="64"/>
      <c r="AA47" s="64"/>
      <c r="AB47" s="64"/>
      <c r="AC47" s="64"/>
      <c r="AD47" s="64"/>
      <c r="AE47" s="64"/>
      <c r="AF47" s="64"/>
      <c r="AG47" s="64"/>
      <c r="AH47" s="64"/>
      <c r="AI47" s="137" t="s">
        <v>33</v>
      </c>
      <c r="AJ47" s="139"/>
      <c r="AK47" s="136" t="s">
        <v>240</v>
      </c>
      <c r="AM47" s="136">
        <v>500</v>
      </c>
      <c r="AN47" s="136">
        <v>800</v>
      </c>
      <c r="AO47" s="136">
        <v>800</v>
      </c>
      <c r="AP47" s="136">
        <v>1000</v>
      </c>
      <c r="AQ47" s="136">
        <v>1200</v>
      </c>
      <c r="AR47" s="136">
        <v>1400</v>
      </c>
      <c r="AT47" s="136">
        <f t="shared" ref="AT47:AY47" si="25">AM47</f>
        <v>500</v>
      </c>
      <c r="AU47" s="136">
        <f t="shared" si="25"/>
        <v>800</v>
      </c>
      <c r="AV47" s="136">
        <f t="shared" si="25"/>
        <v>800</v>
      </c>
      <c r="AW47" s="136">
        <f t="shared" si="25"/>
        <v>1000</v>
      </c>
      <c r="AX47" s="136">
        <f t="shared" si="25"/>
        <v>1200</v>
      </c>
      <c r="AY47" s="136">
        <f t="shared" si="25"/>
        <v>1400</v>
      </c>
    </row>
    <row r="48" spans="2:53" x14ac:dyDescent="0.2">
      <c r="B48" s="89"/>
      <c r="C48" s="165"/>
      <c r="D48" s="89"/>
      <c r="E48" s="89"/>
      <c r="F48" s="89"/>
      <c r="G48" s="124"/>
      <c r="H48" s="124"/>
      <c r="I48" s="124"/>
      <c r="J48" s="124"/>
      <c r="K48" s="124"/>
      <c r="L48" s="124"/>
      <c r="M48" s="124"/>
      <c r="N48" s="64"/>
      <c r="O48" s="64"/>
      <c r="P48" s="64"/>
      <c r="Q48" s="64"/>
      <c r="R48" s="64"/>
      <c r="S48" s="64"/>
      <c r="T48" s="64"/>
      <c r="U48" s="64"/>
      <c r="V48" s="64"/>
      <c r="W48" s="64"/>
      <c r="X48" s="64"/>
      <c r="Y48" s="64"/>
      <c r="Z48" s="64"/>
      <c r="AA48" s="64"/>
      <c r="AB48" s="64"/>
      <c r="AC48" s="64"/>
      <c r="AD48" s="64"/>
      <c r="AE48" s="64"/>
      <c r="AF48" s="64"/>
      <c r="AG48" s="64"/>
      <c r="AH48" s="64"/>
      <c r="AI48" s="140">
        <v>175</v>
      </c>
      <c r="AJ48" s="142">
        <f t="shared" ref="AJ48:AJ57" si="26">IF(Mast_Rasse=3,4.4*LN(AI48)+$V$24*1.06-28.7,0.173+0.01372*AI48+1.47*Mast_LMZ/1000)*$U$5</f>
        <v>-5.9749417147365342</v>
      </c>
      <c r="AK48" s="136">
        <f>AJ48*2</f>
        <v>-11.949883429473068</v>
      </c>
      <c r="AL48" s="158">
        <f>AI48</f>
        <v>175</v>
      </c>
      <c r="AM48" s="136">
        <v>22</v>
      </c>
      <c r="AN48" s="136">
        <v>31</v>
      </c>
      <c r="AO48" s="136">
        <v>31</v>
      </c>
      <c r="AP48" s="136">
        <v>35</v>
      </c>
      <c r="AS48" s="158">
        <f t="shared" ref="AS48:AS57" si="27">AI48</f>
        <v>175</v>
      </c>
      <c r="AT48" s="136">
        <f t="shared" ref="AT48:AT56" si="28">AM48-$AK48</f>
        <v>33.949883429473068</v>
      </c>
      <c r="AU48" s="136">
        <f t="shared" ref="AU48:AU56" si="29">AN48-$AK48</f>
        <v>42.949883429473068</v>
      </c>
      <c r="AV48" s="136">
        <f t="shared" ref="AV48:AV56" si="30">AO48-$AK48</f>
        <v>42.949883429473068</v>
      </c>
      <c r="AW48" s="136">
        <f t="shared" ref="AW48:AW56" si="31">AP48-$AK48</f>
        <v>46.949883429473068</v>
      </c>
    </row>
    <row r="49" spans="7:51" x14ac:dyDescent="0.2">
      <c r="G49" s="124"/>
      <c r="H49" s="124"/>
      <c r="I49" s="124"/>
      <c r="J49" s="124"/>
      <c r="K49" s="124"/>
      <c r="L49" s="124"/>
      <c r="M49" s="124"/>
      <c r="N49" s="64"/>
      <c r="O49" s="64"/>
      <c r="P49" s="64"/>
      <c r="Q49" s="64"/>
      <c r="R49" s="64"/>
      <c r="S49" s="64"/>
      <c r="T49" s="64"/>
      <c r="U49" s="64"/>
      <c r="V49" s="64"/>
      <c r="W49" s="64"/>
      <c r="X49" s="64"/>
      <c r="Y49" s="64"/>
      <c r="Z49" s="64"/>
      <c r="AA49" s="64"/>
      <c r="AB49" s="64"/>
      <c r="AC49" s="64"/>
      <c r="AD49" s="64"/>
      <c r="AE49" s="64"/>
      <c r="AF49" s="64"/>
      <c r="AG49" s="64"/>
      <c r="AH49" s="64"/>
      <c r="AI49" s="140">
        <v>225</v>
      </c>
      <c r="AJ49" s="141">
        <f t="shared" si="26"/>
        <v>-4.869158230300549</v>
      </c>
      <c r="AK49" s="136">
        <f t="shared" ref="AK49:AK57" si="32">AJ49*2</f>
        <v>-9.7383164606010979</v>
      </c>
      <c r="AL49" s="158">
        <f t="shared" ref="AL49:AL57" si="33">AI49</f>
        <v>225</v>
      </c>
      <c r="AM49" s="136">
        <v>24</v>
      </c>
      <c r="AN49" s="136">
        <v>33</v>
      </c>
      <c r="AO49" s="136">
        <v>33</v>
      </c>
      <c r="AP49" s="136">
        <v>36</v>
      </c>
      <c r="AQ49" s="136">
        <v>39</v>
      </c>
      <c r="AS49" s="158">
        <f t="shared" si="27"/>
        <v>225</v>
      </c>
      <c r="AT49" s="136">
        <f t="shared" si="28"/>
        <v>33.738316460601098</v>
      </c>
      <c r="AU49" s="136">
        <f t="shared" si="29"/>
        <v>42.738316460601098</v>
      </c>
      <c r="AV49" s="136">
        <f t="shared" si="30"/>
        <v>42.738316460601098</v>
      </c>
      <c r="AW49" s="136">
        <f t="shared" si="31"/>
        <v>45.738316460601098</v>
      </c>
      <c r="AX49" s="136">
        <f t="shared" ref="AX49:AX57" si="34">AQ49-$AK49</f>
        <v>48.738316460601098</v>
      </c>
    </row>
    <row r="50" spans="7:51" x14ac:dyDescent="0.2">
      <c r="G50" s="124"/>
      <c r="H50" s="124"/>
      <c r="I50" s="124"/>
      <c r="J50" s="124"/>
      <c r="K50" s="124"/>
      <c r="L50" s="124"/>
      <c r="M50" s="124"/>
      <c r="N50" s="64"/>
      <c r="O50" s="64"/>
      <c r="P50" s="64"/>
      <c r="Q50" s="64"/>
      <c r="R50" s="64"/>
      <c r="S50" s="64"/>
      <c r="T50" s="64"/>
      <c r="U50" s="64"/>
      <c r="V50" s="64"/>
      <c r="W50" s="64"/>
      <c r="X50" s="64"/>
      <c r="Y50" s="64"/>
      <c r="Z50" s="64"/>
      <c r="AA50" s="64"/>
      <c r="AB50" s="64"/>
      <c r="AC50" s="64"/>
      <c r="AD50" s="64"/>
      <c r="AE50" s="64"/>
      <c r="AF50" s="64"/>
      <c r="AG50" s="64"/>
      <c r="AH50" s="64"/>
      <c r="AI50" s="140">
        <v>275</v>
      </c>
      <c r="AJ50" s="141">
        <f t="shared" si="26"/>
        <v>-3.9862071702670825</v>
      </c>
      <c r="AK50" s="136">
        <f t="shared" si="32"/>
        <v>-7.972414340534165</v>
      </c>
      <c r="AL50" s="158">
        <f t="shared" si="33"/>
        <v>275</v>
      </c>
      <c r="AM50" s="136">
        <v>26</v>
      </c>
      <c r="AN50" s="136">
        <v>35</v>
      </c>
      <c r="AO50" s="136">
        <v>34</v>
      </c>
      <c r="AP50" s="136">
        <v>39</v>
      </c>
      <c r="AQ50" s="136">
        <v>42</v>
      </c>
      <c r="AR50" s="136">
        <v>46</v>
      </c>
      <c r="AS50" s="158">
        <f t="shared" si="27"/>
        <v>275</v>
      </c>
      <c r="AT50" s="136">
        <f t="shared" si="28"/>
        <v>33.972414340534165</v>
      </c>
      <c r="AU50" s="136">
        <f t="shared" si="29"/>
        <v>42.972414340534165</v>
      </c>
      <c r="AV50" s="136">
        <f t="shared" si="30"/>
        <v>41.972414340534165</v>
      </c>
      <c r="AW50" s="136">
        <f t="shared" si="31"/>
        <v>46.972414340534165</v>
      </c>
      <c r="AX50" s="136">
        <f t="shared" si="34"/>
        <v>49.972414340534165</v>
      </c>
      <c r="AY50" s="136">
        <f t="shared" ref="AY50:AY55" si="35">AR50-$AK50</f>
        <v>53.972414340534165</v>
      </c>
    </row>
    <row r="51" spans="7:51" x14ac:dyDescent="0.2">
      <c r="G51" s="124"/>
      <c r="H51" s="124"/>
      <c r="I51" s="124"/>
      <c r="J51" s="124"/>
      <c r="K51" s="124"/>
      <c r="L51" s="124"/>
      <c r="M51" s="124"/>
      <c r="N51" s="64"/>
      <c r="O51" s="64"/>
      <c r="P51" s="64"/>
      <c r="Q51" s="64"/>
      <c r="R51" s="64"/>
      <c r="S51" s="64"/>
      <c r="T51" s="64"/>
      <c r="U51" s="64"/>
      <c r="V51" s="64"/>
      <c r="W51" s="64"/>
      <c r="X51" s="64"/>
      <c r="Y51" s="64"/>
      <c r="Z51" s="64"/>
      <c r="AA51" s="64"/>
      <c r="AB51" s="64"/>
      <c r="AC51" s="64"/>
      <c r="AD51" s="64"/>
      <c r="AE51" s="64"/>
      <c r="AF51" s="64"/>
      <c r="AG51" s="64"/>
      <c r="AH51" s="64"/>
      <c r="AI51" s="140">
        <v>325</v>
      </c>
      <c r="AJ51" s="141">
        <f t="shared" si="26"/>
        <v>-3.251169197749153</v>
      </c>
      <c r="AK51" s="136">
        <f t="shared" si="32"/>
        <v>-6.5023383954983061</v>
      </c>
      <c r="AL51" s="158">
        <f t="shared" si="33"/>
        <v>325</v>
      </c>
      <c r="AM51" s="136">
        <v>27</v>
      </c>
      <c r="AN51" s="136">
        <v>36</v>
      </c>
      <c r="AO51" s="136">
        <v>35</v>
      </c>
      <c r="AP51" s="136">
        <v>39</v>
      </c>
      <c r="AQ51" s="136">
        <v>42</v>
      </c>
      <c r="AR51" s="136">
        <v>47</v>
      </c>
      <c r="AS51" s="158">
        <f t="shared" si="27"/>
        <v>325</v>
      </c>
      <c r="AT51" s="136">
        <f t="shared" si="28"/>
        <v>33.502338395498306</v>
      </c>
      <c r="AU51" s="136">
        <f t="shared" si="29"/>
        <v>42.502338395498306</v>
      </c>
      <c r="AV51" s="136">
        <f t="shared" si="30"/>
        <v>41.502338395498306</v>
      </c>
      <c r="AW51" s="136">
        <f t="shared" si="31"/>
        <v>45.502338395498306</v>
      </c>
      <c r="AX51" s="136">
        <f t="shared" si="34"/>
        <v>48.502338395498306</v>
      </c>
      <c r="AY51" s="136">
        <f t="shared" si="35"/>
        <v>53.502338395498306</v>
      </c>
    </row>
    <row r="52" spans="7:51" x14ac:dyDescent="0.2">
      <c r="G52" s="124"/>
      <c r="H52" s="124"/>
      <c r="I52" s="124"/>
      <c r="J52" s="124"/>
      <c r="K52" s="124"/>
      <c r="L52" s="124"/>
      <c r="M52" s="124"/>
      <c r="N52" s="64"/>
      <c r="O52" s="64"/>
      <c r="P52" s="64"/>
      <c r="Q52" s="64"/>
      <c r="R52" s="64"/>
      <c r="S52" s="64"/>
      <c r="T52" s="64"/>
      <c r="U52" s="64"/>
      <c r="V52" s="64"/>
      <c r="W52" s="64"/>
      <c r="X52" s="64"/>
      <c r="Y52" s="64"/>
      <c r="Z52" s="64"/>
      <c r="AA52" s="64"/>
      <c r="AB52" s="64"/>
      <c r="AC52" s="64"/>
      <c r="AD52" s="64"/>
      <c r="AE52" s="64"/>
      <c r="AF52" s="64"/>
      <c r="AG52" s="64"/>
      <c r="AH52" s="64"/>
      <c r="AI52" s="140">
        <v>375</v>
      </c>
      <c r="AJ52" s="141">
        <f t="shared" si="26"/>
        <v>-2.6215254857301922</v>
      </c>
      <c r="AK52" s="136">
        <f t="shared" si="32"/>
        <v>-5.2430509714603843</v>
      </c>
      <c r="AL52" s="158">
        <f t="shared" si="33"/>
        <v>375</v>
      </c>
      <c r="AM52" s="136">
        <v>28</v>
      </c>
      <c r="AN52" s="136">
        <v>37</v>
      </c>
      <c r="AO52" s="136">
        <v>37</v>
      </c>
      <c r="AP52" s="136">
        <v>41</v>
      </c>
      <c r="AQ52" s="136">
        <v>43</v>
      </c>
      <c r="AR52" s="136">
        <v>48</v>
      </c>
      <c r="AS52" s="158">
        <f t="shared" si="27"/>
        <v>375</v>
      </c>
      <c r="AT52" s="136">
        <f t="shared" si="28"/>
        <v>33.243050971460384</v>
      </c>
      <c r="AU52" s="136">
        <f t="shared" si="29"/>
        <v>42.243050971460384</v>
      </c>
      <c r="AV52" s="136">
        <f t="shared" si="30"/>
        <v>42.243050971460384</v>
      </c>
      <c r="AW52" s="136">
        <f t="shared" si="31"/>
        <v>46.243050971460384</v>
      </c>
      <c r="AX52" s="136">
        <f t="shared" si="34"/>
        <v>48.243050971460384</v>
      </c>
      <c r="AY52" s="136">
        <f t="shared" si="35"/>
        <v>53.243050971460384</v>
      </c>
    </row>
    <row r="53" spans="7:51" x14ac:dyDescent="0.2">
      <c r="G53" s="124"/>
      <c r="H53" s="124"/>
      <c r="I53" s="124"/>
      <c r="J53" s="124"/>
      <c r="K53" s="124"/>
      <c r="L53" s="124"/>
      <c r="M53" s="124"/>
      <c r="N53" s="64"/>
      <c r="O53" s="64"/>
      <c r="P53" s="64"/>
      <c r="Q53" s="64"/>
      <c r="R53" s="64"/>
      <c r="S53" s="64"/>
      <c r="T53" s="64"/>
      <c r="U53" s="64"/>
      <c r="V53" s="64"/>
      <c r="W53" s="64"/>
      <c r="X53" s="64"/>
      <c r="Y53" s="64"/>
      <c r="Z53" s="64"/>
      <c r="AA53" s="64"/>
      <c r="AB53" s="64"/>
      <c r="AC53" s="64"/>
      <c r="AD53" s="64"/>
      <c r="AE53" s="64"/>
      <c r="AF53" s="64"/>
      <c r="AG53" s="64"/>
      <c r="AH53" s="64"/>
      <c r="AI53" s="140">
        <v>425</v>
      </c>
      <c r="AJ53" s="141">
        <f t="shared" si="26"/>
        <v>-2.070807656732562</v>
      </c>
      <c r="AK53" s="136">
        <f t="shared" si="32"/>
        <v>-4.1416153134651239</v>
      </c>
      <c r="AL53" s="158">
        <f t="shared" si="33"/>
        <v>425</v>
      </c>
      <c r="AM53" s="136">
        <v>29</v>
      </c>
      <c r="AN53" s="136">
        <v>38</v>
      </c>
      <c r="AO53" s="136">
        <v>38</v>
      </c>
      <c r="AP53" s="136">
        <v>41</v>
      </c>
      <c r="AQ53" s="136">
        <v>44</v>
      </c>
      <c r="AR53" s="136">
        <v>50</v>
      </c>
      <c r="AS53" s="158">
        <f t="shared" si="27"/>
        <v>425</v>
      </c>
      <c r="AT53" s="136">
        <f t="shared" si="28"/>
        <v>33.141615313465124</v>
      </c>
      <c r="AU53" s="136">
        <f t="shared" si="29"/>
        <v>42.141615313465124</v>
      </c>
      <c r="AV53" s="136">
        <f t="shared" si="30"/>
        <v>42.141615313465124</v>
      </c>
      <c r="AW53" s="136">
        <f t="shared" si="31"/>
        <v>45.141615313465124</v>
      </c>
      <c r="AX53" s="136">
        <f t="shared" si="34"/>
        <v>48.141615313465124</v>
      </c>
      <c r="AY53" s="136">
        <f t="shared" si="35"/>
        <v>54.141615313465124</v>
      </c>
    </row>
    <row r="54" spans="7:51" x14ac:dyDescent="0.2">
      <c r="G54" s="124"/>
      <c r="H54" s="124"/>
      <c r="I54" s="124"/>
      <c r="J54" s="124"/>
      <c r="K54" s="124"/>
      <c r="L54" s="124"/>
      <c r="M54" s="124"/>
      <c r="N54" s="64"/>
      <c r="O54" s="64"/>
      <c r="P54" s="64"/>
      <c r="Q54" s="64"/>
      <c r="R54" s="64"/>
      <c r="S54" s="64"/>
      <c r="T54" s="64"/>
      <c r="U54" s="64"/>
      <c r="V54" s="64"/>
      <c r="W54" s="64"/>
      <c r="X54" s="64"/>
      <c r="Y54" s="64"/>
      <c r="Z54" s="64"/>
      <c r="AA54" s="64"/>
      <c r="AB54" s="64"/>
      <c r="AC54" s="64"/>
      <c r="AD54" s="64"/>
      <c r="AE54" s="64"/>
      <c r="AF54" s="64"/>
      <c r="AG54" s="64"/>
      <c r="AH54" s="64"/>
      <c r="AI54" s="140">
        <v>475</v>
      </c>
      <c r="AJ54" s="141">
        <f t="shared" si="26"/>
        <v>-1.581414862247577</v>
      </c>
      <c r="AK54" s="136">
        <f t="shared" si="32"/>
        <v>-3.162829724495154</v>
      </c>
      <c r="AL54" s="158">
        <f t="shared" si="33"/>
        <v>475</v>
      </c>
      <c r="AM54" s="136">
        <v>30</v>
      </c>
      <c r="AN54" s="136">
        <v>41</v>
      </c>
      <c r="AO54" s="136">
        <v>39</v>
      </c>
      <c r="AP54" s="136">
        <v>43</v>
      </c>
      <c r="AQ54" s="136">
        <v>45</v>
      </c>
      <c r="AR54" s="136">
        <v>50</v>
      </c>
      <c r="AS54" s="158">
        <f t="shared" si="27"/>
        <v>475</v>
      </c>
      <c r="AT54" s="136">
        <f t="shared" si="28"/>
        <v>33.162829724495154</v>
      </c>
      <c r="AU54" s="136">
        <f t="shared" si="29"/>
        <v>44.162829724495154</v>
      </c>
      <c r="AV54" s="136">
        <f t="shared" si="30"/>
        <v>42.162829724495154</v>
      </c>
      <c r="AW54" s="136">
        <f t="shared" si="31"/>
        <v>46.162829724495154</v>
      </c>
      <c r="AX54" s="136">
        <f t="shared" si="34"/>
        <v>48.162829724495154</v>
      </c>
      <c r="AY54" s="136">
        <f t="shared" si="35"/>
        <v>53.162829724495154</v>
      </c>
    </row>
    <row r="55" spans="7:51" x14ac:dyDescent="0.2">
      <c r="G55" s="124"/>
      <c r="H55" s="124"/>
      <c r="I55" s="124"/>
      <c r="J55" s="124"/>
      <c r="K55" s="124"/>
      <c r="L55" s="124"/>
      <c r="M55" s="124"/>
      <c r="N55" s="64"/>
      <c r="O55" s="64"/>
      <c r="P55" s="64"/>
      <c r="Q55" s="64"/>
      <c r="R55" s="64"/>
      <c r="S55" s="64"/>
      <c r="T55" s="64"/>
      <c r="U55" s="64"/>
      <c r="V55" s="64"/>
      <c r="W55" s="64"/>
      <c r="X55" s="64"/>
      <c r="Y55" s="64"/>
      <c r="Z55" s="64"/>
      <c r="AA55" s="64"/>
      <c r="AB55" s="64"/>
      <c r="AC55" s="64"/>
      <c r="AD55" s="64"/>
      <c r="AE55" s="64"/>
      <c r="AF55" s="64"/>
      <c r="AG55" s="64"/>
      <c r="AH55" s="64"/>
      <c r="AI55" s="140">
        <v>525</v>
      </c>
      <c r="AJ55" s="141">
        <f t="shared" si="26"/>
        <v>-1.1410476445968527</v>
      </c>
      <c r="AK55" s="136">
        <f t="shared" si="32"/>
        <v>-2.2820952891937054</v>
      </c>
      <c r="AL55" s="158">
        <f t="shared" si="33"/>
        <v>525</v>
      </c>
      <c r="AM55" s="136">
        <v>30</v>
      </c>
      <c r="AN55" s="136">
        <v>42</v>
      </c>
      <c r="AO55" s="136">
        <v>39</v>
      </c>
      <c r="AP55" s="136">
        <v>43</v>
      </c>
      <c r="AQ55" s="136">
        <v>46</v>
      </c>
      <c r="AR55" s="136">
        <v>51</v>
      </c>
      <c r="AS55" s="158">
        <f t="shared" si="27"/>
        <v>525</v>
      </c>
      <c r="AT55" s="136">
        <f t="shared" si="28"/>
        <v>32.282095289193705</v>
      </c>
      <c r="AU55" s="136">
        <f t="shared" si="29"/>
        <v>44.282095289193705</v>
      </c>
      <c r="AV55" s="136">
        <f t="shared" si="30"/>
        <v>41.282095289193705</v>
      </c>
      <c r="AW55" s="136">
        <f t="shared" si="31"/>
        <v>45.282095289193705</v>
      </c>
      <c r="AX55" s="136">
        <f t="shared" si="34"/>
        <v>48.282095289193705</v>
      </c>
      <c r="AY55" s="136">
        <f t="shared" si="35"/>
        <v>53.282095289193705</v>
      </c>
    </row>
    <row r="56" spans="7:51" x14ac:dyDescent="0.2">
      <c r="G56" s="124"/>
      <c r="H56" s="124"/>
      <c r="I56" s="124"/>
      <c r="J56" s="124"/>
      <c r="K56" s="124"/>
      <c r="L56" s="124"/>
      <c r="M56" s="124"/>
      <c r="N56" s="64"/>
      <c r="O56" s="64"/>
      <c r="P56" s="64"/>
      <c r="Q56" s="64"/>
      <c r="R56" s="64"/>
      <c r="S56" s="64"/>
      <c r="T56" s="64"/>
      <c r="U56" s="64"/>
      <c r="V56" s="64"/>
      <c r="W56" s="64"/>
      <c r="X56" s="64"/>
      <c r="Y56" s="64"/>
      <c r="Z56" s="64"/>
      <c r="AA56" s="64"/>
      <c r="AB56" s="64"/>
      <c r="AC56" s="64"/>
      <c r="AD56" s="64"/>
      <c r="AE56" s="64"/>
      <c r="AF56" s="64"/>
      <c r="AG56" s="64"/>
      <c r="AH56" s="64"/>
      <c r="AI56" s="140">
        <v>575</v>
      </c>
      <c r="AJ56" s="141">
        <f t="shared" si="26"/>
        <v>-0.74077182049165557</v>
      </c>
      <c r="AK56" s="136">
        <f t="shared" si="32"/>
        <v>-1.4815436409833111</v>
      </c>
      <c r="AL56" s="158">
        <f t="shared" si="33"/>
        <v>575</v>
      </c>
      <c r="AM56" s="136">
        <v>31</v>
      </c>
      <c r="AN56" s="136">
        <v>43</v>
      </c>
      <c r="AO56" s="136">
        <v>40</v>
      </c>
      <c r="AP56" s="136">
        <v>44</v>
      </c>
      <c r="AQ56" s="136">
        <v>47</v>
      </c>
      <c r="AS56" s="158">
        <f t="shared" si="27"/>
        <v>575</v>
      </c>
      <c r="AT56" s="136">
        <f t="shared" si="28"/>
        <v>32.481543640983311</v>
      </c>
      <c r="AU56" s="136">
        <f t="shared" si="29"/>
        <v>44.481543640983311</v>
      </c>
      <c r="AV56" s="136">
        <f t="shared" si="30"/>
        <v>41.481543640983311</v>
      </c>
      <c r="AW56" s="136">
        <f t="shared" si="31"/>
        <v>45.481543640983311</v>
      </c>
      <c r="AX56" s="136">
        <f t="shared" si="34"/>
        <v>48.481543640983311</v>
      </c>
    </row>
    <row r="57" spans="7:51" x14ac:dyDescent="0.2">
      <c r="G57" s="124"/>
      <c r="H57" s="124"/>
      <c r="I57" s="124"/>
      <c r="J57" s="124"/>
      <c r="K57" s="124"/>
      <c r="L57" s="124"/>
      <c r="M57" s="124"/>
      <c r="N57" s="64"/>
      <c r="O57" s="64"/>
      <c r="P57" s="64"/>
      <c r="Q57" s="64"/>
      <c r="R57" s="64"/>
      <c r="S57" s="64"/>
      <c r="T57" s="64"/>
      <c r="U57" s="64"/>
      <c r="V57" s="64"/>
      <c r="W57" s="64"/>
      <c r="X57" s="64"/>
      <c r="Y57" s="64"/>
      <c r="Z57" s="64"/>
      <c r="AA57" s="64"/>
      <c r="AB57" s="64"/>
      <c r="AC57" s="64"/>
      <c r="AD57" s="64"/>
      <c r="AE57" s="64"/>
      <c r="AF57" s="64"/>
      <c r="AG57" s="64"/>
      <c r="AH57" s="64"/>
      <c r="AI57" s="140">
        <v>625</v>
      </c>
      <c r="AJ57" s="141">
        <f t="shared" si="26"/>
        <v>-0.37389274115983184</v>
      </c>
      <c r="AK57" s="136">
        <f t="shared" si="32"/>
        <v>-0.74778548231966369</v>
      </c>
      <c r="AL57" s="158">
        <f t="shared" si="33"/>
        <v>625</v>
      </c>
      <c r="AO57" s="136">
        <v>41</v>
      </c>
      <c r="AP57" s="136">
        <v>45</v>
      </c>
      <c r="AQ57" s="136">
        <v>48</v>
      </c>
      <c r="AS57" s="158">
        <f t="shared" si="27"/>
        <v>625</v>
      </c>
      <c r="AV57" s="136">
        <f>AO57-$AK57</f>
        <v>41.747785482319664</v>
      </c>
      <c r="AW57" s="136">
        <f>AP57-$AK57</f>
        <v>45.747785482319664</v>
      </c>
      <c r="AX57" s="136">
        <f t="shared" si="34"/>
        <v>48.747785482319664</v>
      </c>
    </row>
    <row r="58" spans="7:51" ht="12.75" thickBot="1" x14ac:dyDescent="0.25">
      <c r="G58" s="124"/>
      <c r="H58" s="124"/>
      <c r="I58" s="124"/>
      <c r="J58" s="124"/>
      <c r="K58" s="124"/>
      <c r="L58" s="124"/>
      <c r="M58" s="124"/>
      <c r="N58" s="64"/>
      <c r="O58" s="64"/>
      <c r="P58" s="64"/>
      <c r="Q58" s="64"/>
      <c r="R58" s="64"/>
      <c r="S58" s="64"/>
      <c r="T58" s="64"/>
      <c r="U58" s="64"/>
      <c r="V58" s="64"/>
      <c r="W58" s="64"/>
      <c r="X58" s="64"/>
      <c r="Y58" s="64"/>
      <c r="Z58" s="64"/>
      <c r="AA58" s="64"/>
      <c r="AB58" s="64"/>
      <c r="AC58" s="64"/>
      <c r="AD58" s="64"/>
      <c r="AE58" s="64"/>
      <c r="AF58" s="64"/>
      <c r="AG58" s="64"/>
      <c r="AH58" s="64"/>
      <c r="AI58" s="140"/>
      <c r="AJ58" s="143"/>
      <c r="AL58" s="158"/>
      <c r="AS58" s="136" t="s">
        <v>298</v>
      </c>
      <c r="AT58" s="136">
        <f t="shared" ref="AT58:AY58" si="36">AVERAGE(AT48:AT57)</f>
        <v>33.274898618411591</v>
      </c>
      <c r="AU58" s="136">
        <f t="shared" si="36"/>
        <v>43.163787507300484</v>
      </c>
      <c r="AV58" s="136">
        <f t="shared" si="36"/>
        <v>42.022187304802401</v>
      </c>
      <c r="AW58" s="136">
        <f t="shared" si="36"/>
        <v>45.922187304802399</v>
      </c>
      <c r="AX58" s="136">
        <f t="shared" si="36"/>
        <v>48.58577662428344</v>
      </c>
      <c r="AY58" s="136">
        <f t="shared" si="36"/>
        <v>53.550724005774477</v>
      </c>
    </row>
    <row r="59" spans="7:51" x14ac:dyDescent="0.2">
      <c r="G59" s="124"/>
      <c r="H59" s="124"/>
      <c r="I59" s="124"/>
      <c r="J59" s="124"/>
      <c r="K59" s="124"/>
      <c r="L59" s="124"/>
      <c r="M59" s="124"/>
      <c r="N59" s="64"/>
      <c r="O59" s="64"/>
      <c r="P59" s="64"/>
      <c r="Q59" s="64"/>
      <c r="R59" s="64"/>
      <c r="S59" s="64"/>
      <c r="T59" s="64"/>
      <c r="U59" s="64"/>
      <c r="V59" s="64"/>
      <c r="W59" s="64"/>
      <c r="X59" s="64"/>
      <c r="Y59" s="64"/>
      <c r="Z59" s="64"/>
      <c r="AA59" s="64"/>
      <c r="AB59" s="64"/>
      <c r="AC59" s="64"/>
      <c r="AD59" s="64"/>
      <c r="AE59" s="64"/>
      <c r="AF59" s="64"/>
      <c r="AG59" s="64"/>
      <c r="AH59" s="64"/>
    </row>
    <row r="60" spans="7:51" x14ac:dyDescent="0.2">
      <c r="G60" s="124"/>
      <c r="H60" s="124"/>
      <c r="I60" s="124"/>
      <c r="J60" s="124"/>
      <c r="K60" s="124"/>
      <c r="L60" s="124"/>
      <c r="M60" s="124"/>
      <c r="N60" s="64"/>
      <c r="O60" s="64"/>
      <c r="P60" s="64"/>
      <c r="Q60" s="64"/>
      <c r="R60" s="64"/>
      <c r="S60" s="64"/>
      <c r="T60" s="64"/>
      <c r="U60" s="64"/>
      <c r="V60" s="64"/>
      <c r="W60" s="64"/>
      <c r="X60" s="64"/>
      <c r="Y60" s="64"/>
      <c r="Z60" s="64"/>
      <c r="AA60" s="64"/>
      <c r="AB60" s="64"/>
      <c r="AC60" s="64"/>
      <c r="AD60" s="64"/>
      <c r="AE60" s="64"/>
      <c r="AF60" s="64"/>
      <c r="AG60" s="64"/>
      <c r="AH60" s="64"/>
    </row>
    <row r="61" spans="7:51" x14ac:dyDescent="0.2">
      <c r="G61" s="124"/>
      <c r="H61" s="124"/>
      <c r="I61" s="124"/>
      <c r="J61" s="124"/>
      <c r="K61" s="124"/>
      <c r="L61" s="124"/>
      <c r="M61" s="124"/>
      <c r="N61" s="64"/>
      <c r="O61" s="64"/>
      <c r="P61" s="64"/>
      <c r="Q61" s="64"/>
      <c r="R61" s="64"/>
      <c r="S61" s="64"/>
      <c r="T61" s="64"/>
      <c r="U61" s="64"/>
      <c r="V61" s="64"/>
      <c r="W61" s="64"/>
      <c r="X61" s="64"/>
      <c r="Y61" s="64"/>
      <c r="Z61" s="64"/>
      <c r="AA61" s="64"/>
      <c r="AB61" s="64"/>
      <c r="AC61" s="64"/>
      <c r="AD61" s="64"/>
      <c r="AE61" s="64"/>
      <c r="AF61" s="64"/>
      <c r="AG61" s="64"/>
      <c r="AH61" s="64"/>
    </row>
    <row r="62" spans="7:51" ht="12.75" thickBot="1" x14ac:dyDescent="0.25">
      <c r="G62" s="124"/>
      <c r="H62" s="124"/>
      <c r="I62" s="124"/>
      <c r="J62" s="124"/>
      <c r="K62" s="124"/>
      <c r="L62" s="124"/>
      <c r="M62" s="124"/>
      <c r="N62" s="64"/>
      <c r="O62" s="64"/>
      <c r="P62" s="64"/>
      <c r="Q62" s="64"/>
      <c r="R62" s="64"/>
      <c r="S62" s="64"/>
      <c r="T62" s="64"/>
      <c r="U62" s="64"/>
      <c r="V62" s="64"/>
      <c r="W62" s="64"/>
      <c r="X62" s="64"/>
      <c r="Y62" s="64"/>
      <c r="Z62" s="64"/>
      <c r="AA62" s="64"/>
      <c r="AB62" s="64"/>
      <c r="AC62" s="64"/>
      <c r="AD62" s="64"/>
      <c r="AE62" s="64"/>
      <c r="AF62" s="64"/>
      <c r="AG62" s="64"/>
      <c r="AH62" s="64"/>
      <c r="AI62" s="137" t="s">
        <v>34</v>
      </c>
      <c r="AJ62" s="139"/>
      <c r="AK62" s="136" t="s">
        <v>240</v>
      </c>
      <c r="AM62" s="136">
        <v>500</v>
      </c>
      <c r="AN62" s="136">
        <v>800</v>
      </c>
      <c r="AO62" s="136">
        <v>800</v>
      </c>
      <c r="AP62" s="136">
        <v>1000</v>
      </c>
      <c r="AQ62" s="136">
        <v>1200</v>
      </c>
      <c r="AR62" s="136">
        <v>1400</v>
      </c>
      <c r="AT62" s="136">
        <f t="shared" ref="AT62:AY62" si="37">AM62</f>
        <v>500</v>
      </c>
      <c r="AU62" s="136">
        <f t="shared" si="37"/>
        <v>800</v>
      </c>
      <c r="AV62" s="136">
        <f t="shared" si="37"/>
        <v>800</v>
      </c>
      <c r="AW62" s="136">
        <f t="shared" si="37"/>
        <v>1000</v>
      </c>
      <c r="AX62" s="136">
        <f t="shared" si="37"/>
        <v>1200</v>
      </c>
      <c r="AY62" s="136">
        <f t="shared" si="37"/>
        <v>1400</v>
      </c>
    </row>
    <row r="63" spans="7:51" x14ac:dyDescent="0.2">
      <c r="G63" s="124"/>
      <c r="H63" s="124"/>
      <c r="I63" s="124"/>
      <c r="J63" s="124"/>
      <c r="K63" s="124"/>
      <c r="L63" s="124"/>
      <c r="M63" s="124"/>
      <c r="N63" s="64"/>
      <c r="O63" s="64"/>
      <c r="P63" s="64"/>
      <c r="Q63" s="64"/>
      <c r="R63" s="64"/>
      <c r="S63" s="64"/>
      <c r="T63" s="64"/>
      <c r="U63" s="64"/>
      <c r="V63" s="64"/>
      <c r="W63" s="64"/>
      <c r="X63" s="64"/>
      <c r="Y63" s="64"/>
      <c r="Z63" s="64"/>
      <c r="AA63" s="64"/>
      <c r="AB63" s="64"/>
      <c r="AC63" s="64"/>
      <c r="AD63" s="64"/>
      <c r="AE63" s="64"/>
      <c r="AF63" s="64"/>
      <c r="AG63" s="64"/>
      <c r="AH63" s="64"/>
      <c r="AI63" s="140">
        <v>175</v>
      </c>
      <c r="AJ63" s="142">
        <f t="shared" ref="AJ63:AJ72" si="38">IF(Mast_Rasse=3,4.4*LN(AI63)+$V$24*1.06-28.7,0.173+0.01372*AI63+1.47*Mast_LMZ/1000)*$U$5</f>
        <v>-5.9749417147365342</v>
      </c>
      <c r="AK63" s="136">
        <f>AJ63*1.4</f>
        <v>-8.3649184006311472</v>
      </c>
      <c r="AL63" s="158">
        <f>AI63</f>
        <v>175</v>
      </c>
      <c r="AM63" s="136">
        <v>11</v>
      </c>
      <c r="AN63" s="136">
        <v>14</v>
      </c>
      <c r="AO63" s="136">
        <v>14</v>
      </c>
      <c r="AP63" s="136">
        <v>16</v>
      </c>
      <c r="AS63" s="158">
        <f t="shared" ref="AS63:AS72" si="39">AI63</f>
        <v>175</v>
      </c>
      <c r="AT63" s="136">
        <f t="shared" ref="AT63:AT71" si="40">AM63-$AK63</f>
        <v>19.364918400631147</v>
      </c>
      <c r="AU63" s="136">
        <f t="shared" ref="AU63:AU71" si="41">AN63-$AK63</f>
        <v>22.364918400631147</v>
      </c>
      <c r="AV63" s="136">
        <f t="shared" ref="AV63:AV71" si="42">AO63-$AK63</f>
        <v>22.364918400631147</v>
      </c>
      <c r="AW63" s="136">
        <f t="shared" ref="AW63:AW71" si="43">AP63-$AK63</f>
        <v>24.364918400631147</v>
      </c>
    </row>
    <row r="64" spans="7:51" x14ac:dyDescent="0.2">
      <c r="G64" s="124"/>
      <c r="H64" s="124"/>
      <c r="I64" s="124"/>
      <c r="J64" s="124"/>
      <c r="K64" s="124"/>
      <c r="L64" s="124"/>
      <c r="M64" s="124"/>
      <c r="N64" s="64"/>
      <c r="O64" s="64"/>
      <c r="P64" s="64"/>
      <c r="Q64" s="64"/>
      <c r="R64" s="64"/>
      <c r="S64" s="64"/>
      <c r="T64" s="64"/>
      <c r="U64" s="64"/>
      <c r="V64" s="64"/>
      <c r="W64" s="64"/>
      <c r="X64" s="64"/>
      <c r="Y64" s="64"/>
      <c r="Z64" s="64"/>
      <c r="AA64" s="64"/>
      <c r="AB64" s="64"/>
      <c r="AC64" s="64"/>
      <c r="AD64" s="64"/>
      <c r="AE64" s="64"/>
      <c r="AF64" s="64"/>
      <c r="AG64" s="64"/>
      <c r="AH64" s="64"/>
      <c r="AI64" s="140">
        <v>225</v>
      </c>
      <c r="AJ64" s="141">
        <f t="shared" si="38"/>
        <v>-4.869158230300549</v>
      </c>
      <c r="AK64" s="136">
        <f t="shared" ref="AK64:AK72" si="44">AJ64*1.4</f>
        <v>-6.816821522420768</v>
      </c>
      <c r="AL64" s="158">
        <f t="shared" ref="AL64:AL72" si="45">AI64</f>
        <v>225</v>
      </c>
      <c r="AM64" s="136">
        <v>12</v>
      </c>
      <c r="AN64" s="136">
        <v>15</v>
      </c>
      <c r="AO64" s="136">
        <v>16</v>
      </c>
      <c r="AP64" s="136">
        <v>17</v>
      </c>
      <c r="AQ64" s="136">
        <v>19</v>
      </c>
      <c r="AS64" s="158">
        <f t="shared" si="39"/>
        <v>225</v>
      </c>
      <c r="AT64" s="136">
        <f t="shared" si="40"/>
        <v>18.816821522420767</v>
      </c>
      <c r="AU64" s="136">
        <f t="shared" si="41"/>
        <v>21.816821522420767</v>
      </c>
      <c r="AV64" s="136">
        <f t="shared" si="42"/>
        <v>22.816821522420767</v>
      </c>
      <c r="AW64" s="136">
        <f t="shared" si="43"/>
        <v>23.816821522420767</v>
      </c>
      <c r="AX64" s="136">
        <f t="shared" ref="AX64:AX72" si="46">AQ64-$AK64</f>
        <v>25.816821522420767</v>
      </c>
    </row>
    <row r="65" spans="7:51" x14ac:dyDescent="0.2">
      <c r="G65" s="124"/>
      <c r="H65" s="124"/>
      <c r="I65" s="124"/>
      <c r="J65" s="124"/>
      <c r="K65" s="124"/>
      <c r="L65" s="124"/>
      <c r="M65" s="124"/>
      <c r="N65" s="64"/>
      <c r="O65" s="64"/>
      <c r="P65" s="64"/>
      <c r="Q65" s="64"/>
      <c r="R65" s="64"/>
      <c r="S65" s="64"/>
      <c r="T65" s="64"/>
      <c r="U65" s="64"/>
      <c r="V65" s="64"/>
      <c r="W65" s="64"/>
      <c r="X65" s="64"/>
      <c r="Y65" s="64"/>
      <c r="Z65" s="64"/>
      <c r="AA65" s="64"/>
      <c r="AB65" s="64"/>
      <c r="AC65" s="64"/>
      <c r="AD65" s="64"/>
      <c r="AE65" s="64"/>
      <c r="AF65" s="64"/>
      <c r="AG65" s="64"/>
      <c r="AH65" s="64"/>
      <c r="AI65" s="140">
        <v>275</v>
      </c>
      <c r="AJ65" s="141">
        <f t="shared" si="38"/>
        <v>-3.9862071702670825</v>
      </c>
      <c r="AK65" s="136">
        <f t="shared" si="44"/>
        <v>-5.5806900383739153</v>
      </c>
      <c r="AL65" s="158">
        <f t="shared" si="45"/>
        <v>275</v>
      </c>
      <c r="AM65" s="136">
        <v>13</v>
      </c>
      <c r="AN65" s="136">
        <v>16</v>
      </c>
      <c r="AO65" s="136">
        <v>16</v>
      </c>
      <c r="AP65" s="136">
        <v>18</v>
      </c>
      <c r="AQ65" s="136">
        <v>20</v>
      </c>
      <c r="AR65" s="136">
        <v>22</v>
      </c>
      <c r="AS65" s="158">
        <f t="shared" si="39"/>
        <v>275</v>
      </c>
      <c r="AT65" s="136">
        <f t="shared" si="40"/>
        <v>18.580690038373916</v>
      </c>
      <c r="AU65" s="136">
        <f t="shared" si="41"/>
        <v>21.580690038373916</v>
      </c>
      <c r="AV65" s="136">
        <f t="shared" si="42"/>
        <v>21.580690038373916</v>
      </c>
      <c r="AW65" s="136">
        <f t="shared" si="43"/>
        <v>23.580690038373916</v>
      </c>
      <c r="AX65" s="136">
        <f t="shared" si="46"/>
        <v>25.580690038373916</v>
      </c>
      <c r="AY65" s="136">
        <f t="shared" ref="AY65:AY70" si="47">AR65-$AK65</f>
        <v>27.580690038373916</v>
      </c>
    </row>
    <row r="66" spans="7:51" x14ac:dyDescent="0.2">
      <c r="G66" s="124"/>
      <c r="H66" s="124"/>
      <c r="I66" s="124"/>
      <c r="J66" s="124"/>
      <c r="K66" s="124"/>
      <c r="L66" s="124"/>
      <c r="M66" s="124"/>
      <c r="N66" s="64"/>
      <c r="O66" s="64"/>
      <c r="P66" s="64"/>
      <c r="Q66" s="64"/>
      <c r="R66" s="64"/>
      <c r="S66" s="64"/>
      <c r="T66" s="64"/>
      <c r="U66" s="64"/>
      <c r="V66" s="64"/>
      <c r="W66" s="64"/>
      <c r="X66" s="64"/>
      <c r="Y66" s="64"/>
      <c r="Z66" s="64"/>
      <c r="AA66" s="64"/>
      <c r="AB66" s="64"/>
      <c r="AC66" s="64"/>
      <c r="AD66" s="64"/>
      <c r="AE66" s="64"/>
      <c r="AF66" s="64"/>
      <c r="AG66" s="64"/>
      <c r="AH66" s="64"/>
      <c r="AI66" s="140">
        <v>325</v>
      </c>
      <c r="AJ66" s="141">
        <f t="shared" si="38"/>
        <v>-3.251169197749153</v>
      </c>
      <c r="AK66" s="136">
        <f t="shared" si="44"/>
        <v>-4.5516368768488142</v>
      </c>
      <c r="AL66" s="158">
        <f t="shared" si="45"/>
        <v>325</v>
      </c>
      <c r="AM66" s="136">
        <v>14</v>
      </c>
      <c r="AN66" s="136">
        <v>17</v>
      </c>
      <c r="AO66" s="136">
        <v>17</v>
      </c>
      <c r="AP66" s="136">
        <v>19</v>
      </c>
      <c r="AQ66" s="136">
        <v>21</v>
      </c>
      <c r="AR66" s="136">
        <v>23</v>
      </c>
      <c r="AS66" s="158">
        <f t="shared" si="39"/>
        <v>325</v>
      </c>
      <c r="AT66" s="136">
        <f t="shared" si="40"/>
        <v>18.551636876848814</v>
      </c>
      <c r="AU66" s="136">
        <f t="shared" si="41"/>
        <v>21.551636876848814</v>
      </c>
      <c r="AV66" s="136">
        <f t="shared" si="42"/>
        <v>21.551636876848814</v>
      </c>
      <c r="AW66" s="136">
        <f t="shared" si="43"/>
        <v>23.551636876848814</v>
      </c>
      <c r="AX66" s="136">
        <f t="shared" si="46"/>
        <v>25.551636876848814</v>
      </c>
      <c r="AY66" s="136">
        <f t="shared" si="47"/>
        <v>27.551636876848814</v>
      </c>
    </row>
    <row r="67" spans="7:51" x14ac:dyDescent="0.2">
      <c r="G67" s="124"/>
      <c r="H67" s="124"/>
      <c r="I67" s="124"/>
      <c r="J67" s="124"/>
      <c r="K67" s="124"/>
      <c r="L67" s="124"/>
      <c r="M67" s="124"/>
      <c r="N67" s="64"/>
      <c r="O67" s="64"/>
      <c r="P67" s="64"/>
      <c r="Q67" s="64"/>
      <c r="R67" s="64"/>
      <c r="S67" s="64"/>
      <c r="T67" s="64"/>
      <c r="U67" s="64"/>
      <c r="V67" s="64"/>
      <c r="W67" s="64"/>
      <c r="X67" s="64"/>
      <c r="Y67" s="64"/>
      <c r="Z67" s="64"/>
      <c r="AA67" s="64"/>
      <c r="AB67" s="64"/>
      <c r="AC67" s="64"/>
      <c r="AD67" s="64"/>
      <c r="AE67" s="64"/>
      <c r="AF67" s="64"/>
      <c r="AG67" s="64"/>
      <c r="AH67" s="64"/>
      <c r="AI67" s="140">
        <v>375</v>
      </c>
      <c r="AJ67" s="141">
        <f t="shared" si="38"/>
        <v>-2.6215254857301922</v>
      </c>
      <c r="AK67" s="136">
        <f t="shared" si="44"/>
        <v>-3.6701356800222689</v>
      </c>
      <c r="AL67" s="158">
        <f t="shared" si="45"/>
        <v>375</v>
      </c>
      <c r="AM67" s="136">
        <v>15</v>
      </c>
      <c r="AN67" s="136">
        <v>19</v>
      </c>
      <c r="AO67" s="136">
        <v>18</v>
      </c>
      <c r="AP67" s="136">
        <v>20</v>
      </c>
      <c r="AQ67" s="136">
        <v>22</v>
      </c>
      <c r="AR67" s="136">
        <v>24</v>
      </c>
      <c r="AS67" s="158">
        <f t="shared" si="39"/>
        <v>375</v>
      </c>
      <c r="AT67" s="136">
        <f t="shared" si="40"/>
        <v>18.67013568002227</v>
      </c>
      <c r="AU67" s="136">
        <f t="shared" si="41"/>
        <v>22.67013568002227</v>
      </c>
      <c r="AV67" s="136">
        <f t="shared" si="42"/>
        <v>21.67013568002227</v>
      </c>
      <c r="AW67" s="136">
        <f t="shared" si="43"/>
        <v>23.67013568002227</v>
      </c>
      <c r="AX67" s="136">
        <f t="shared" si="46"/>
        <v>25.67013568002227</v>
      </c>
      <c r="AY67" s="136">
        <f t="shared" si="47"/>
        <v>27.67013568002227</v>
      </c>
    </row>
    <row r="68" spans="7:51" x14ac:dyDescent="0.2">
      <c r="G68" s="124"/>
      <c r="H68" s="124"/>
      <c r="I68" s="124"/>
      <c r="J68" s="124"/>
      <c r="K68" s="124"/>
      <c r="L68" s="124"/>
      <c r="M68" s="124"/>
      <c r="N68" s="64"/>
      <c r="O68" s="64"/>
      <c r="P68" s="64"/>
      <c r="Q68" s="64"/>
      <c r="R68" s="64"/>
      <c r="S68" s="64"/>
      <c r="T68" s="64"/>
      <c r="U68" s="64"/>
      <c r="V68" s="64"/>
      <c r="W68" s="64"/>
      <c r="X68" s="64"/>
      <c r="Y68" s="64"/>
      <c r="Z68" s="64"/>
      <c r="AA68" s="64"/>
      <c r="AB68" s="64"/>
      <c r="AC68" s="64"/>
      <c r="AD68" s="64"/>
      <c r="AE68" s="64"/>
      <c r="AF68" s="64"/>
      <c r="AG68" s="64"/>
      <c r="AH68" s="64"/>
      <c r="AI68" s="140">
        <v>425</v>
      </c>
      <c r="AJ68" s="141">
        <f t="shared" si="38"/>
        <v>-2.070807656732562</v>
      </c>
      <c r="AK68" s="136">
        <f t="shared" si="44"/>
        <v>-2.8991307194255866</v>
      </c>
      <c r="AL68" s="158">
        <f t="shared" si="45"/>
        <v>425</v>
      </c>
      <c r="AM68" s="136">
        <v>16</v>
      </c>
      <c r="AN68" s="136">
        <v>20</v>
      </c>
      <c r="AO68" s="136">
        <v>19</v>
      </c>
      <c r="AP68" s="136">
        <v>21</v>
      </c>
      <c r="AQ68" s="136">
        <v>22</v>
      </c>
      <c r="AR68" s="136">
        <v>24</v>
      </c>
      <c r="AS68" s="158">
        <f t="shared" si="39"/>
        <v>425</v>
      </c>
      <c r="AT68" s="136">
        <f t="shared" si="40"/>
        <v>18.899130719425585</v>
      </c>
      <c r="AU68" s="136">
        <f t="shared" si="41"/>
        <v>22.899130719425585</v>
      </c>
      <c r="AV68" s="136">
        <f t="shared" si="42"/>
        <v>21.899130719425585</v>
      </c>
      <c r="AW68" s="136">
        <f t="shared" si="43"/>
        <v>23.899130719425585</v>
      </c>
      <c r="AX68" s="136">
        <f t="shared" si="46"/>
        <v>24.899130719425585</v>
      </c>
      <c r="AY68" s="136">
        <f t="shared" si="47"/>
        <v>26.899130719425585</v>
      </c>
    </row>
    <row r="69" spans="7:51" x14ac:dyDescent="0.2">
      <c r="G69" s="124"/>
      <c r="H69" s="124"/>
      <c r="I69" s="124"/>
      <c r="J69" s="124"/>
      <c r="K69" s="124"/>
      <c r="L69" s="124"/>
      <c r="M69" s="124"/>
      <c r="N69" s="64"/>
      <c r="O69" s="64"/>
      <c r="P69" s="64"/>
      <c r="Q69" s="64"/>
      <c r="R69" s="64"/>
      <c r="S69" s="64"/>
      <c r="T69" s="64"/>
      <c r="U69" s="64"/>
      <c r="V69" s="64"/>
      <c r="W69" s="64"/>
      <c r="X69" s="64"/>
      <c r="Y69" s="64"/>
      <c r="Z69" s="64"/>
      <c r="AA69" s="64"/>
      <c r="AB69" s="64"/>
      <c r="AC69" s="64"/>
      <c r="AD69" s="64"/>
      <c r="AE69" s="64"/>
      <c r="AF69" s="64"/>
      <c r="AG69" s="64"/>
      <c r="AH69" s="64"/>
      <c r="AI69" s="140">
        <v>475</v>
      </c>
      <c r="AJ69" s="141">
        <f t="shared" si="38"/>
        <v>-1.581414862247577</v>
      </c>
      <c r="AK69" s="136">
        <f t="shared" si="44"/>
        <v>-2.2139808071466076</v>
      </c>
      <c r="AL69" s="158">
        <f t="shared" si="45"/>
        <v>475</v>
      </c>
      <c r="AM69" s="136">
        <v>16</v>
      </c>
      <c r="AN69" s="136">
        <v>21</v>
      </c>
      <c r="AO69" s="136">
        <v>20</v>
      </c>
      <c r="AP69" s="136">
        <v>22</v>
      </c>
      <c r="AQ69" s="136">
        <v>23</v>
      </c>
      <c r="AR69" s="136">
        <v>25</v>
      </c>
      <c r="AS69" s="158">
        <f t="shared" si="39"/>
        <v>475</v>
      </c>
      <c r="AT69" s="136">
        <f t="shared" si="40"/>
        <v>18.213980807146608</v>
      </c>
      <c r="AU69" s="136">
        <f t="shared" si="41"/>
        <v>23.213980807146608</v>
      </c>
      <c r="AV69" s="136">
        <f t="shared" si="42"/>
        <v>22.213980807146608</v>
      </c>
      <c r="AW69" s="136">
        <f t="shared" si="43"/>
        <v>24.213980807146608</v>
      </c>
      <c r="AX69" s="136">
        <f t="shared" si="46"/>
        <v>25.213980807146608</v>
      </c>
      <c r="AY69" s="136">
        <f t="shared" si="47"/>
        <v>27.213980807146608</v>
      </c>
    </row>
    <row r="70" spans="7:51" x14ac:dyDescent="0.2">
      <c r="G70" s="124"/>
      <c r="H70" s="124"/>
      <c r="I70" s="124"/>
      <c r="J70" s="124"/>
      <c r="K70" s="124"/>
      <c r="L70" s="124"/>
      <c r="M70" s="124"/>
      <c r="N70" s="64"/>
      <c r="O70" s="64"/>
      <c r="P70" s="64"/>
      <c r="Q70" s="64"/>
      <c r="R70" s="64"/>
      <c r="S70" s="64"/>
      <c r="T70" s="64"/>
      <c r="U70" s="64"/>
      <c r="V70" s="64"/>
      <c r="W70" s="64"/>
      <c r="X70" s="64"/>
      <c r="Y70" s="64"/>
      <c r="Z70" s="64"/>
      <c r="AA70" s="64"/>
      <c r="AB70" s="64"/>
      <c r="AC70" s="64"/>
      <c r="AD70" s="64"/>
      <c r="AE70" s="64"/>
      <c r="AF70" s="64"/>
      <c r="AG70" s="64"/>
      <c r="AH70" s="64"/>
      <c r="AI70" s="140">
        <v>525</v>
      </c>
      <c r="AJ70" s="141">
        <f t="shared" si="38"/>
        <v>-1.1410476445968527</v>
      </c>
      <c r="AK70" s="136">
        <f t="shared" si="44"/>
        <v>-1.5974667024355937</v>
      </c>
      <c r="AL70" s="158">
        <f t="shared" si="45"/>
        <v>525</v>
      </c>
      <c r="AM70" s="136">
        <v>17</v>
      </c>
      <c r="AN70" s="136">
        <v>22</v>
      </c>
      <c r="AO70" s="136">
        <v>20</v>
      </c>
      <c r="AP70" s="136">
        <v>22</v>
      </c>
      <c r="AQ70" s="136">
        <v>24</v>
      </c>
      <c r="AR70" s="136">
        <v>26</v>
      </c>
      <c r="AS70" s="158">
        <f t="shared" si="39"/>
        <v>525</v>
      </c>
      <c r="AT70" s="136">
        <f t="shared" si="40"/>
        <v>18.597466702435593</v>
      </c>
      <c r="AU70" s="136">
        <f t="shared" si="41"/>
        <v>23.597466702435593</v>
      </c>
      <c r="AV70" s="136">
        <f t="shared" si="42"/>
        <v>21.597466702435593</v>
      </c>
      <c r="AW70" s="136">
        <f t="shared" si="43"/>
        <v>23.597466702435593</v>
      </c>
      <c r="AX70" s="136">
        <f t="shared" si="46"/>
        <v>25.597466702435593</v>
      </c>
      <c r="AY70" s="136">
        <f t="shared" si="47"/>
        <v>27.597466702435593</v>
      </c>
    </row>
    <row r="71" spans="7:51" x14ac:dyDescent="0.2">
      <c r="G71" s="124"/>
      <c r="H71" s="124"/>
      <c r="I71" s="124"/>
      <c r="J71" s="124"/>
      <c r="K71" s="124"/>
      <c r="L71" s="124"/>
      <c r="M71" s="124"/>
      <c r="N71" s="64"/>
      <c r="O71" s="64"/>
      <c r="P71" s="64"/>
      <c r="Q71" s="64"/>
      <c r="R71" s="64"/>
      <c r="S71" s="64"/>
      <c r="T71" s="64"/>
      <c r="U71" s="64"/>
      <c r="V71" s="64"/>
      <c r="W71" s="64"/>
      <c r="X71" s="64"/>
      <c r="Y71" s="64"/>
      <c r="Z71" s="64"/>
      <c r="AA71" s="64"/>
      <c r="AB71" s="64"/>
      <c r="AC71" s="64"/>
      <c r="AD71" s="64"/>
      <c r="AE71" s="64"/>
      <c r="AF71" s="64"/>
      <c r="AG71" s="64"/>
      <c r="AH71" s="64"/>
      <c r="AI71" s="140">
        <v>575</v>
      </c>
      <c r="AJ71" s="141">
        <f t="shared" si="38"/>
        <v>-0.74077182049165557</v>
      </c>
      <c r="AK71" s="136">
        <f t="shared" si="44"/>
        <v>-1.0370805486883177</v>
      </c>
      <c r="AL71" s="158">
        <f t="shared" si="45"/>
        <v>575</v>
      </c>
      <c r="AM71" s="136">
        <v>17</v>
      </c>
      <c r="AN71" s="136">
        <v>23</v>
      </c>
      <c r="AO71" s="136">
        <v>21</v>
      </c>
      <c r="AP71" s="136">
        <v>23</v>
      </c>
      <c r="AQ71" s="136">
        <v>24</v>
      </c>
      <c r="AS71" s="158">
        <f t="shared" si="39"/>
        <v>575</v>
      </c>
      <c r="AT71" s="136">
        <f t="shared" si="40"/>
        <v>18.037080548688319</v>
      </c>
      <c r="AU71" s="136">
        <f t="shared" si="41"/>
        <v>24.037080548688319</v>
      </c>
      <c r="AV71" s="136">
        <f t="shared" si="42"/>
        <v>22.037080548688319</v>
      </c>
      <c r="AW71" s="136">
        <f t="shared" si="43"/>
        <v>24.037080548688319</v>
      </c>
      <c r="AX71" s="136">
        <f t="shared" si="46"/>
        <v>25.037080548688319</v>
      </c>
    </row>
    <row r="72" spans="7:51" x14ac:dyDescent="0.2">
      <c r="G72" s="124"/>
      <c r="H72" s="124"/>
      <c r="I72" s="124"/>
      <c r="J72" s="124"/>
      <c r="K72" s="124"/>
      <c r="L72" s="124"/>
      <c r="M72" s="124"/>
      <c r="N72" s="64"/>
      <c r="O72" s="64"/>
      <c r="P72" s="64"/>
      <c r="Q72" s="64"/>
      <c r="R72" s="64"/>
      <c r="S72" s="64"/>
      <c r="T72" s="64"/>
      <c r="U72" s="64"/>
      <c r="V72" s="64"/>
      <c r="W72" s="64"/>
      <c r="X72" s="64"/>
      <c r="Y72" s="64"/>
      <c r="Z72" s="64"/>
      <c r="AA72" s="64"/>
      <c r="AB72" s="64"/>
      <c r="AC72" s="64"/>
      <c r="AD72" s="64"/>
      <c r="AE72" s="64"/>
      <c r="AF72" s="64"/>
      <c r="AG72" s="64"/>
      <c r="AH72" s="64"/>
      <c r="AI72" s="140">
        <v>625</v>
      </c>
      <c r="AJ72" s="141">
        <f t="shared" si="38"/>
        <v>-0.37389274115983184</v>
      </c>
      <c r="AK72" s="136">
        <f t="shared" si="44"/>
        <v>-0.52344983762376451</v>
      </c>
      <c r="AL72" s="158">
        <f t="shared" si="45"/>
        <v>625</v>
      </c>
      <c r="AO72" s="136">
        <v>21</v>
      </c>
      <c r="AP72" s="136">
        <v>23</v>
      </c>
      <c r="AQ72" s="136">
        <v>25</v>
      </c>
      <c r="AS72" s="158">
        <f t="shared" si="39"/>
        <v>625</v>
      </c>
      <c r="AV72" s="136">
        <f>AO72-$AK72</f>
        <v>21.523449837623765</v>
      </c>
      <c r="AW72" s="136">
        <f>AP72-$AK72</f>
        <v>23.523449837623765</v>
      </c>
      <c r="AX72" s="136">
        <f t="shared" si="46"/>
        <v>25.523449837623765</v>
      </c>
    </row>
    <row r="73" spans="7:51" ht="12.75" thickBot="1" x14ac:dyDescent="0.25">
      <c r="G73" s="124"/>
      <c r="H73" s="124"/>
      <c r="I73" s="124"/>
      <c r="J73" s="124"/>
      <c r="K73" s="124"/>
      <c r="L73" s="124"/>
      <c r="M73" s="124"/>
      <c r="N73" s="64"/>
      <c r="O73" s="64"/>
      <c r="P73" s="64"/>
      <c r="Q73" s="64"/>
      <c r="R73" s="64"/>
      <c r="S73" s="64"/>
      <c r="T73" s="64"/>
      <c r="U73" s="64"/>
      <c r="V73" s="64"/>
      <c r="W73" s="64"/>
      <c r="X73" s="64"/>
      <c r="Y73" s="64"/>
      <c r="Z73" s="64"/>
      <c r="AA73" s="64"/>
      <c r="AB73" s="64"/>
      <c r="AC73" s="64"/>
      <c r="AD73" s="64"/>
      <c r="AE73" s="64"/>
      <c r="AF73" s="64"/>
      <c r="AG73" s="64"/>
      <c r="AH73" s="64"/>
      <c r="AI73" s="140"/>
      <c r="AJ73" s="143"/>
      <c r="AL73" s="158"/>
      <c r="AS73" s="136" t="s">
        <v>299</v>
      </c>
      <c r="AT73" s="136">
        <f t="shared" ref="AT73:AY73" si="48">AVERAGE(AT63:AT72)</f>
        <v>18.636873477332557</v>
      </c>
      <c r="AU73" s="136">
        <f t="shared" si="48"/>
        <v>22.636873477332557</v>
      </c>
      <c r="AV73" s="136">
        <f t="shared" si="48"/>
        <v>21.925531113361679</v>
      </c>
      <c r="AW73" s="136">
        <f t="shared" si="48"/>
        <v>23.825531113361677</v>
      </c>
      <c r="AX73" s="136">
        <f t="shared" si="48"/>
        <v>25.432265859220625</v>
      </c>
      <c r="AY73" s="136">
        <f t="shared" si="48"/>
        <v>27.418840137375465</v>
      </c>
    </row>
    <row r="74" spans="7:51" x14ac:dyDescent="0.2">
      <c r="G74" s="124"/>
      <c r="H74" s="124"/>
      <c r="I74" s="124"/>
      <c r="J74" s="124"/>
      <c r="K74" s="124"/>
      <c r="L74" s="124"/>
      <c r="M74" s="124"/>
      <c r="N74" s="64"/>
      <c r="O74" s="64"/>
      <c r="P74" s="64"/>
      <c r="Q74" s="64"/>
      <c r="R74" s="64"/>
      <c r="S74" s="64"/>
      <c r="T74" s="64"/>
      <c r="U74" s="64"/>
      <c r="V74" s="64"/>
      <c r="W74" s="64"/>
      <c r="X74" s="64"/>
      <c r="Y74" s="64"/>
      <c r="Z74" s="64"/>
      <c r="AA74" s="64"/>
      <c r="AB74" s="64"/>
      <c r="AC74" s="64"/>
      <c r="AD74" s="64"/>
      <c r="AE74" s="64"/>
      <c r="AF74" s="64"/>
      <c r="AG74" s="64"/>
      <c r="AH74" s="64"/>
    </row>
    <row r="75" spans="7:51" x14ac:dyDescent="0.2">
      <c r="G75" s="124"/>
      <c r="H75" s="124"/>
      <c r="I75" s="124"/>
      <c r="J75" s="124"/>
      <c r="K75" s="124"/>
      <c r="L75" s="124"/>
      <c r="M75" s="124"/>
      <c r="N75" s="64"/>
      <c r="O75" s="64"/>
      <c r="P75" s="64"/>
      <c r="Q75" s="64"/>
      <c r="R75" s="64"/>
      <c r="S75" s="64"/>
      <c r="T75" s="64"/>
      <c r="U75" s="64"/>
      <c r="V75" s="64"/>
      <c r="W75" s="64"/>
      <c r="X75" s="64"/>
      <c r="Y75" s="64"/>
      <c r="Z75" s="64"/>
      <c r="AA75" s="64"/>
      <c r="AB75" s="64"/>
      <c r="AC75" s="64"/>
      <c r="AD75" s="64"/>
      <c r="AE75" s="64"/>
      <c r="AF75" s="64"/>
      <c r="AG75" s="64"/>
      <c r="AH75" s="64"/>
    </row>
    <row r="76" spans="7:51" ht="12.75" thickBot="1" x14ac:dyDescent="0.25">
      <c r="G76" s="124"/>
      <c r="H76" s="124"/>
      <c r="I76" s="124"/>
      <c r="J76" s="124"/>
      <c r="K76" s="124"/>
      <c r="L76" s="124"/>
      <c r="M76" s="124"/>
      <c r="N76" s="64"/>
      <c r="O76" s="64"/>
      <c r="P76" s="64"/>
      <c r="Q76" s="64"/>
      <c r="R76" s="64"/>
      <c r="S76" s="64"/>
      <c r="T76" s="64"/>
      <c r="U76" s="64"/>
      <c r="V76" s="64"/>
      <c r="W76" s="64"/>
      <c r="X76" s="64"/>
      <c r="Y76" s="64"/>
      <c r="Z76" s="64"/>
      <c r="AA76" s="64"/>
      <c r="AB76" s="64"/>
      <c r="AC76" s="64"/>
      <c r="AD76" s="64"/>
      <c r="AE76" s="64"/>
      <c r="AF76" s="64"/>
      <c r="AG76" s="64"/>
      <c r="AH76" s="64"/>
      <c r="AI76" s="137" t="s">
        <v>36</v>
      </c>
      <c r="AJ76" s="139"/>
      <c r="AK76" s="136" t="s">
        <v>240</v>
      </c>
      <c r="AM76" s="136">
        <v>500</v>
      </c>
      <c r="AN76" s="136">
        <v>800</v>
      </c>
      <c r="AO76" s="136">
        <v>800</v>
      </c>
      <c r="AP76" s="136">
        <v>1000</v>
      </c>
      <c r="AQ76" s="136">
        <v>1200</v>
      </c>
      <c r="AR76" s="136">
        <v>1400</v>
      </c>
      <c r="AT76" s="136">
        <f t="shared" ref="AT76:AY76" si="49">AM76</f>
        <v>500</v>
      </c>
      <c r="AU76" s="136">
        <f t="shared" si="49"/>
        <v>800</v>
      </c>
      <c r="AV76" s="136">
        <f t="shared" si="49"/>
        <v>800</v>
      </c>
      <c r="AW76" s="136">
        <f t="shared" si="49"/>
        <v>1000</v>
      </c>
      <c r="AX76" s="136">
        <f t="shared" si="49"/>
        <v>1200</v>
      </c>
      <c r="AY76" s="136">
        <f t="shared" si="49"/>
        <v>1400</v>
      </c>
    </row>
    <row r="77" spans="7:51" x14ac:dyDescent="0.2">
      <c r="G77" s="124"/>
      <c r="H77" s="124"/>
      <c r="I77" s="124"/>
      <c r="J77" s="124"/>
      <c r="K77" s="124"/>
      <c r="L77" s="124"/>
      <c r="M77" s="124"/>
      <c r="N77" s="64"/>
      <c r="O77" s="64"/>
      <c r="P77" s="64"/>
      <c r="Q77" s="64"/>
      <c r="R77" s="64"/>
      <c r="S77" s="64"/>
      <c r="T77" s="64"/>
      <c r="U77" s="64"/>
      <c r="V77" s="64"/>
      <c r="W77" s="64"/>
      <c r="X77" s="64"/>
      <c r="Y77" s="64"/>
      <c r="Z77" s="64"/>
      <c r="AA77" s="64"/>
      <c r="AB77" s="64"/>
      <c r="AC77" s="64"/>
      <c r="AD77" s="64"/>
      <c r="AE77" s="64"/>
      <c r="AF77" s="64"/>
      <c r="AG77" s="64"/>
      <c r="AH77" s="64"/>
      <c r="AI77" s="140">
        <v>175</v>
      </c>
      <c r="AJ77" s="142">
        <f t="shared" ref="AJ77:AJ86" si="50">IF(Mast_Rasse=3,4.4*LN(AI77)+$V$24*1.06-28.7,0.173+0.01372*AI77+1.47*Mast_LMZ/1000)*$U$5</f>
        <v>-5.9749417147365342</v>
      </c>
      <c r="AK77" s="136">
        <f>AJ77*1</f>
        <v>-5.9749417147365342</v>
      </c>
      <c r="AL77" s="158">
        <f>AI77</f>
        <v>175</v>
      </c>
      <c r="AM77" s="136">
        <v>4</v>
      </c>
      <c r="AN77" s="136">
        <v>5</v>
      </c>
      <c r="AO77" s="136">
        <v>6</v>
      </c>
      <c r="AP77" s="136">
        <v>6</v>
      </c>
      <c r="AS77" s="158">
        <f t="shared" ref="AS77:AS86" si="51">AI77</f>
        <v>175</v>
      </c>
      <c r="AT77" s="136">
        <f t="shared" ref="AT77:AT85" si="52">AM77-$AK77</f>
        <v>9.9749417147365342</v>
      </c>
      <c r="AU77" s="136">
        <f t="shared" ref="AU77:AU85" si="53">AN77-$AK77</f>
        <v>10.974941714736534</v>
      </c>
      <c r="AV77" s="136">
        <f t="shared" ref="AV77:AV85" si="54">AO77-$AK77</f>
        <v>11.974941714736534</v>
      </c>
      <c r="AW77" s="136">
        <f t="shared" ref="AW77:AW85" si="55">AP77-$AK77</f>
        <v>11.974941714736534</v>
      </c>
    </row>
    <row r="78" spans="7:51" x14ac:dyDescent="0.2">
      <c r="G78" s="124"/>
      <c r="H78" s="124"/>
      <c r="I78" s="124"/>
      <c r="J78" s="124"/>
      <c r="K78" s="124"/>
      <c r="L78" s="124"/>
      <c r="M78" s="124"/>
      <c r="N78" s="64"/>
      <c r="O78" s="64"/>
      <c r="P78" s="64"/>
      <c r="Q78" s="64"/>
      <c r="R78" s="64"/>
      <c r="S78" s="64"/>
      <c r="T78" s="64"/>
      <c r="U78" s="64"/>
      <c r="V78" s="64"/>
      <c r="W78" s="64"/>
      <c r="X78" s="64"/>
      <c r="Y78" s="64"/>
      <c r="Z78" s="64"/>
      <c r="AA78" s="64"/>
      <c r="AB78" s="64"/>
      <c r="AC78" s="64"/>
      <c r="AD78" s="64"/>
      <c r="AE78" s="64"/>
      <c r="AF78" s="64"/>
      <c r="AG78" s="64"/>
      <c r="AH78" s="64"/>
      <c r="AI78" s="140">
        <v>225</v>
      </c>
      <c r="AJ78" s="141">
        <f t="shared" si="50"/>
        <v>-4.869158230300549</v>
      </c>
      <c r="AK78" s="136">
        <f t="shared" ref="AK78:AK86" si="56">AJ78*1</f>
        <v>-4.869158230300549</v>
      </c>
      <c r="AL78" s="158">
        <f t="shared" ref="AL78:AL86" si="57">AI78</f>
        <v>225</v>
      </c>
      <c r="AM78" s="136">
        <v>5</v>
      </c>
      <c r="AN78" s="136">
        <v>6</v>
      </c>
      <c r="AO78" s="136">
        <v>6</v>
      </c>
      <c r="AP78" s="136">
        <v>7</v>
      </c>
      <c r="AQ78" s="136">
        <v>7</v>
      </c>
      <c r="AS78" s="158">
        <f t="shared" si="51"/>
        <v>225</v>
      </c>
      <c r="AT78" s="136">
        <f t="shared" si="52"/>
        <v>9.869158230300549</v>
      </c>
      <c r="AU78" s="136">
        <f t="shared" si="53"/>
        <v>10.869158230300549</v>
      </c>
      <c r="AV78" s="136">
        <f t="shared" si="54"/>
        <v>10.869158230300549</v>
      </c>
      <c r="AW78" s="136">
        <f t="shared" si="55"/>
        <v>11.869158230300549</v>
      </c>
      <c r="AX78" s="136">
        <f t="shared" ref="AX78:AX86" si="58">AQ78-$AK78</f>
        <v>11.869158230300549</v>
      </c>
    </row>
    <row r="79" spans="7:51" x14ac:dyDescent="0.2">
      <c r="G79" s="124"/>
      <c r="H79" s="124"/>
      <c r="I79" s="124"/>
      <c r="J79" s="124"/>
      <c r="K79" s="124"/>
      <c r="L79" s="124"/>
      <c r="M79" s="124"/>
      <c r="N79" s="64"/>
      <c r="O79" s="64"/>
      <c r="P79" s="64"/>
      <c r="Q79" s="64"/>
      <c r="R79" s="64"/>
      <c r="S79" s="64"/>
      <c r="T79" s="64"/>
      <c r="U79" s="64"/>
      <c r="V79" s="64"/>
      <c r="W79" s="64"/>
      <c r="X79" s="64"/>
      <c r="Y79" s="64"/>
      <c r="Z79" s="64"/>
      <c r="AA79" s="64"/>
      <c r="AB79" s="64"/>
      <c r="AC79" s="64"/>
      <c r="AD79" s="64"/>
      <c r="AE79" s="64"/>
      <c r="AF79" s="64"/>
      <c r="AG79" s="64"/>
      <c r="AH79" s="64"/>
      <c r="AI79" s="140">
        <v>275</v>
      </c>
      <c r="AJ79" s="141">
        <f t="shared" si="50"/>
        <v>-3.9862071702670825</v>
      </c>
      <c r="AK79" s="136">
        <f t="shared" si="56"/>
        <v>-3.9862071702670825</v>
      </c>
      <c r="AL79" s="158">
        <f t="shared" si="57"/>
        <v>275</v>
      </c>
      <c r="AM79" s="136">
        <v>6</v>
      </c>
      <c r="AN79" s="136">
        <v>7</v>
      </c>
      <c r="AO79" s="136">
        <v>7</v>
      </c>
      <c r="AP79" s="136">
        <v>8</v>
      </c>
      <c r="AQ79" s="136">
        <v>8</v>
      </c>
      <c r="AR79" s="136">
        <v>8</v>
      </c>
      <c r="AS79" s="158">
        <f t="shared" si="51"/>
        <v>275</v>
      </c>
      <c r="AT79" s="136">
        <f t="shared" si="52"/>
        <v>9.9862071702670825</v>
      </c>
      <c r="AU79" s="136">
        <f t="shared" si="53"/>
        <v>10.986207170267082</v>
      </c>
      <c r="AV79" s="136">
        <f t="shared" si="54"/>
        <v>10.986207170267082</v>
      </c>
      <c r="AW79" s="136">
        <f t="shared" si="55"/>
        <v>11.986207170267082</v>
      </c>
      <c r="AX79" s="136">
        <f t="shared" si="58"/>
        <v>11.986207170267082</v>
      </c>
      <c r="AY79" s="136">
        <f t="shared" ref="AY79:AY84" si="59">AR79-$AK79</f>
        <v>11.986207170267082</v>
      </c>
    </row>
    <row r="80" spans="7:51" x14ac:dyDescent="0.2">
      <c r="G80" s="124"/>
      <c r="H80" s="124"/>
      <c r="I80" s="124"/>
      <c r="J80" s="124"/>
      <c r="K80" s="124"/>
      <c r="L80" s="124"/>
      <c r="M80" s="124"/>
      <c r="N80" s="64"/>
      <c r="O80" s="64"/>
      <c r="P80" s="64"/>
      <c r="Q80" s="64"/>
      <c r="R80" s="64"/>
      <c r="S80" s="64"/>
      <c r="T80" s="64"/>
      <c r="U80" s="64"/>
      <c r="V80" s="64"/>
      <c r="W80" s="64"/>
      <c r="X80" s="64"/>
      <c r="Y80" s="64"/>
      <c r="Z80" s="64"/>
      <c r="AA80" s="64"/>
      <c r="AB80" s="64"/>
      <c r="AC80" s="64"/>
      <c r="AD80" s="64"/>
      <c r="AE80" s="64"/>
      <c r="AF80" s="64"/>
      <c r="AG80" s="64"/>
      <c r="AH80" s="64"/>
      <c r="AI80" s="140">
        <v>325</v>
      </c>
      <c r="AJ80" s="141">
        <f t="shared" si="50"/>
        <v>-3.251169197749153</v>
      </c>
      <c r="AK80" s="136">
        <f t="shared" si="56"/>
        <v>-3.251169197749153</v>
      </c>
      <c r="AL80" s="158">
        <f t="shared" si="57"/>
        <v>325</v>
      </c>
      <c r="AM80" s="136">
        <v>7</v>
      </c>
      <c r="AN80" s="136">
        <v>8</v>
      </c>
      <c r="AO80" s="136">
        <v>8</v>
      </c>
      <c r="AP80" s="136">
        <v>8</v>
      </c>
      <c r="AQ80" s="136">
        <v>9</v>
      </c>
      <c r="AR80" s="136">
        <v>9</v>
      </c>
      <c r="AS80" s="158">
        <f t="shared" si="51"/>
        <v>325</v>
      </c>
      <c r="AT80" s="136">
        <f t="shared" si="52"/>
        <v>10.251169197749153</v>
      </c>
      <c r="AU80" s="136">
        <f t="shared" si="53"/>
        <v>11.251169197749153</v>
      </c>
      <c r="AV80" s="136">
        <f t="shared" si="54"/>
        <v>11.251169197749153</v>
      </c>
      <c r="AW80" s="136">
        <f t="shared" si="55"/>
        <v>11.251169197749153</v>
      </c>
      <c r="AX80" s="136">
        <f t="shared" si="58"/>
        <v>12.251169197749153</v>
      </c>
      <c r="AY80" s="136">
        <f t="shared" si="59"/>
        <v>12.251169197749153</v>
      </c>
    </row>
    <row r="81" spans="7:51" x14ac:dyDescent="0.2">
      <c r="G81" s="124"/>
      <c r="H81" s="124"/>
      <c r="I81" s="124"/>
      <c r="J81" s="124"/>
      <c r="K81" s="124"/>
      <c r="L81" s="124"/>
      <c r="M81" s="124"/>
      <c r="N81" s="64"/>
      <c r="O81" s="64"/>
      <c r="P81" s="64"/>
      <c r="Q81" s="64"/>
      <c r="R81" s="64"/>
      <c r="S81" s="64"/>
      <c r="T81" s="64"/>
      <c r="U81" s="64"/>
      <c r="V81" s="64"/>
      <c r="W81" s="64"/>
      <c r="X81" s="64"/>
      <c r="Y81" s="64"/>
      <c r="Z81" s="64"/>
      <c r="AA81" s="64"/>
      <c r="AB81" s="64"/>
      <c r="AC81" s="64"/>
      <c r="AD81" s="64"/>
      <c r="AE81" s="64"/>
      <c r="AF81" s="64"/>
      <c r="AG81" s="64"/>
      <c r="AH81" s="64"/>
      <c r="AI81" s="140">
        <v>375</v>
      </c>
      <c r="AJ81" s="141">
        <f t="shared" si="50"/>
        <v>-2.6215254857301922</v>
      </c>
      <c r="AK81" s="136">
        <f t="shared" si="56"/>
        <v>-2.6215254857301922</v>
      </c>
      <c r="AL81" s="158">
        <f t="shared" si="57"/>
        <v>375</v>
      </c>
      <c r="AM81" s="136">
        <v>8</v>
      </c>
      <c r="AN81" s="136">
        <v>8</v>
      </c>
      <c r="AO81" s="136">
        <v>8</v>
      </c>
      <c r="AP81" s="136">
        <v>9</v>
      </c>
      <c r="AQ81" s="136">
        <v>9</v>
      </c>
      <c r="AR81" s="136">
        <v>10</v>
      </c>
      <c r="AS81" s="158">
        <f t="shared" si="51"/>
        <v>375</v>
      </c>
      <c r="AT81" s="136">
        <f t="shared" si="52"/>
        <v>10.621525485730192</v>
      </c>
      <c r="AU81" s="136">
        <f t="shared" si="53"/>
        <v>10.621525485730192</v>
      </c>
      <c r="AV81" s="136">
        <f t="shared" si="54"/>
        <v>10.621525485730192</v>
      </c>
      <c r="AW81" s="136">
        <f t="shared" si="55"/>
        <v>11.621525485730192</v>
      </c>
      <c r="AX81" s="136">
        <f t="shared" si="58"/>
        <v>11.621525485730192</v>
      </c>
      <c r="AY81" s="136">
        <f t="shared" si="59"/>
        <v>12.621525485730192</v>
      </c>
    </row>
    <row r="82" spans="7:51" x14ac:dyDescent="0.2">
      <c r="G82" s="124"/>
      <c r="H82" s="124"/>
      <c r="I82" s="124"/>
      <c r="J82" s="124"/>
      <c r="K82" s="124"/>
      <c r="L82" s="124"/>
      <c r="M82" s="124"/>
      <c r="N82" s="64"/>
      <c r="O82" s="64"/>
      <c r="P82" s="64"/>
      <c r="Q82" s="64"/>
      <c r="R82" s="64"/>
      <c r="S82" s="64"/>
      <c r="T82" s="64"/>
      <c r="U82" s="64"/>
      <c r="V82" s="64"/>
      <c r="W82" s="64"/>
      <c r="X82" s="64"/>
      <c r="Y82" s="64"/>
      <c r="Z82" s="64"/>
      <c r="AA82" s="64"/>
      <c r="AB82" s="64"/>
      <c r="AC82" s="64"/>
      <c r="AD82" s="64"/>
      <c r="AE82" s="64"/>
      <c r="AF82" s="64"/>
      <c r="AG82" s="64"/>
      <c r="AH82" s="64"/>
      <c r="AI82" s="140">
        <v>425</v>
      </c>
      <c r="AJ82" s="141">
        <f t="shared" si="50"/>
        <v>-2.070807656732562</v>
      </c>
      <c r="AK82" s="136">
        <f t="shared" si="56"/>
        <v>-2.070807656732562</v>
      </c>
      <c r="AL82" s="158">
        <f t="shared" si="57"/>
        <v>425</v>
      </c>
      <c r="AM82" s="136">
        <v>8</v>
      </c>
      <c r="AN82" s="136">
        <v>9</v>
      </c>
      <c r="AO82" s="136">
        <v>9</v>
      </c>
      <c r="AP82" s="136">
        <v>9</v>
      </c>
      <c r="AQ82" s="136">
        <v>10</v>
      </c>
      <c r="AR82" s="136">
        <v>10</v>
      </c>
      <c r="AS82" s="158">
        <f t="shared" si="51"/>
        <v>425</v>
      </c>
      <c r="AT82" s="136">
        <f t="shared" si="52"/>
        <v>10.070807656732562</v>
      </c>
      <c r="AU82" s="136">
        <f t="shared" si="53"/>
        <v>11.070807656732562</v>
      </c>
      <c r="AV82" s="136">
        <f t="shared" si="54"/>
        <v>11.070807656732562</v>
      </c>
      <c r="AW82" s="136">
        <f t="shared" si="55"/>
        <v>11.070807656732562</v>
      </c>
      <c r="AX82" s="136">
        <f t="shared" si="58"/>
        <v>12.070807656732562</v>
      </c>
      <c r="AY82" s="136">
        <f t="shared" si="59"/>
        <v>12.070807656732562</v>
      </c>
    </row>
    <row r="83" spans="7:51" x14ac:dyDescent="0.2">
      <c r="G83" s="124"/>
      <c r="H83" s="124"/>
      <c r="I83" s="124"/>
      <c r="J83" s="124"/>
      <c r="K83" s="124"/>
      <c r="L83" s="124"/>
      <c r="M83" s="124"/>
      <c r="N83" s="64"/>
      <c r="O83" s="64"/>
      <c r="P83" s="64"/>
      <c r="Q83" s="64"/>
      <c r="R83" s="64"/>
      <c r="S83" s="64"/>
      <c r="T83" s="64"/>
      <c r="U83" s="64"/>
      <c r="V83" s="64"/>
      <c r="W83" s="64"/>
      <c r="X83" s="64"/>
      <c r="Y83" s="64"/>
      <c r="Z83" s="64"/>
      <c r="AA83" s="64"/>
      <c r="AB83" s="64"/>
      <c r="AC83" s="64"/>
      <c r="AD83" s="64"/>
      <c r="AE83" s="64"/>
      <c r="AF83" s="64"/>
      <c r="AG83" s="64"/>
      <c r="AH83" s="64"/>
      <c r="AI83" s="140">
        <v>475</v>
      </c>
      <c r="AJ83" s="141">
        <f t="shared" si="50"/>
        <v>-1.581414862247577</v>
      </c>
      <c r="AK83" s="136">
        <f t="shared" si="56"/>
        <v>-1.581414862247577</v>
      </c>
      <c r="AL83" s="158">
        <f t="shared" si="57"/>
        <v>475</v>
      </c>
      <c r="AM83" s="136">
        <v>9</v>
      </c>
      <c r="AN83" s="136">
        <v>10</v>
      </c>
      <c r="AO83" s="136">
        <v>9</v>
      </c>
      <c r="AP83" s="136">
        <v>10</v>
      </c>
      <c r="AQ83" s="136">
        <v>10</v>
      </c>
      <c r="AR83" s="136">
        <v>11</v>
      </c>
      <c r="AS83" s="158">
        <f t="shared" si="51"/>
        <v>475</v>
      </c>
      <c r="AT83" s="136">
        <f t="shared" si="52"/>
        <v>10.581414862247577</v>
      </c>
      <c r="AU83" s="136">
        <f t="shared" si="53"/>
        <v>11.581414862247577</v>
      </c>
      <c r="AV83" s="136">
        <f t="shared" si="54"/>
        <v>10.581414862247577</v>
      </c>
      <c r="AW83" s="136">
        <f t="shared" si="55"/>
        <v>11.581414862247577</v>
      </c>
      <c r="AX83" s="136">
        <f t="shared" si="58"/>
        <v>11.581414862247577</v>
      </c>
      <c r="AY83" s="136">
        <f t="shared" si="59"/>
        <v>12.581414862247577</v>
      </c>
    </row>
    <row r="84" spans="7:51" x14ac:dyDescent="0.2">
      <c r="G84" s="124"/>
      <c r="H84" s="124"/>
      <c r="I84" s="124"/>
      <c r="J84" s="124"/>
      <c r="K84" s="124"/>
      <c r="L84" s="124"/>
      <c r="M84" s="124"/>
      <c r="N84" s="64"/>
      <c r="O84" s="64"/>
      <c r="P84" s="64"/>
      <c r="Q84" s="64"/>
      <c r="R84" s="64"/>
      <c r="S84" s="64"/>
      <c r="T84" s="64"/>
      <c r="U84" s="64"/>
      <c r="V84" s="64"/>
      <c r="W84" s="64"/>
      <c r="X84" s="64"/>
      <c r="Y84" s="64"/>
      <c r="Z84" s="64"/>
      <c r="AA84" s="64"/>
      <c r="AB84" s="64"/>
      <c r="AC84" s="64"/>
      <c r="AD84" s="64"/>
      <c r="AE84" s="64"/>
      <c r="AF84" s="64"/>
      <c r="AG84" s="64"/>
      <c r="AH84" s="64"/>
      <c r="AI84" s="140">
        <v>525</v>
      </c>
      <c r="AJ84" s="141">
        <f t="shared" si="50"/>
        <v>-1.1410476445968527</v>
      </c>
      <c r="AK84" s="136">
        <f t="shared" si="56"/>
        <v>-1.1410476445968527</v>
      </c>
      <c r="AL84" s="158">
        <f t="shared" si="57"/>
        <v>525</v>
      </c>
      <c r="AM84" s="136">
        <v>9</v>
      </c>
      <c r="AN84" s="136">
        <v>11</v>
      </c>
      <c r="AO84" s="136">
        <v>10</v>
      </c>
      <c r="AP84" s="136">
        <v>10</v>
      </c>
      <c r="AQ84" s="136">
        <v>11</v>
      </c>
      <c r="AR84" s="136">
        <v>11</v>
      </c>
      <c r="AS84" s="158">
        <f t="shared" si="51"/>
        <v>525</v>
      </c>
      <c r="AT84" s="136">
        <f t="shared" si="52"/>
        <v>10.141047644596853</v>
      </c>
      <c r="AU84" s="136">
        <f t="shared" si="53"/>
        <v>12.141047644596853</v>
      </c>
      <c r="AV84" s="136">
        <f t="shared" si="54"/>
        <v>11.141047644596853</v>
      </c>
      <c r="AW84" s="136">
        <f t="shared" si="55"/>
        <v>11.141047644596853</v>
      </c>
      <c r="AX84" s="136">
        <f t="shared" si="58"/>
        <v>12.141047644596853</v>
      </c>
      <c r="AY84" s="136">
        <f t="shared" si="59"/>
        <v>12.141047644596853</v>
      </c>
    </row>
    <row r="85" spans="7:51" x14ac:dyDescent="0.2">
      <c r="G85" s="124"/>
      <c r="H85" s="124"/>
      <c r="I85" s="124"/>
      <c r="J85" s="124"/>
      <c r="K85" s="124"/>
      <c r="L85" s="124"/>
      <c r="M85" s="124"/>
      <c r="N85" s="64"/>
      <c r="O85" s="64"/>
      <c r="P85" s="64"/>
      <c r="Q85" s="64"/>
      <c r="R85" s="64"/>
      <c r="S85" s="64"/>
      <c r="T85" s="64"/>
      <c r="U85" s="64"/>
      <c r="V85" s="64"/>
      <c r="W85" s="64"/>
      <c r="X85" s="64"/>
      <c r="Y85" s="64"/>
      <c r="Z85" s="64"/>
      <c r="AA85" s="64"/>
      <c r="AB85" s="64"/>
      <c r="AC85" s="64"/>
      <c r="AD85" s="64"/>
      <c r="AE85" s="64"/>
      <c r="AF85" s="64"/>
      <c r="AG85" s="64"/>
      <c r="AH85" s="64"/>
      <c r="AI85" s="140">
        <v>575</v>
      </c>
      <c r="AJ85" s="141">
        <f t="shared" si="50"/>
        <v>-0.74077182049165557</v>
      </c>
      <c r="AK85" s="136">
        <f t="shared" si="56"/>
        <v>-0.74077182049165557</v>
      </c>
      <c r="AL85" s="158">
        <f t="shared" si="57"/>
        <v>575</v>
      </c>
      <c r="AM85" s="136">
        <v>9</v>
      </c>
      <c r="AN85" s="136">
        <v>12</v>
      </c>
      <c r="AO85" s="136">
        <v>10</v>
      </c>
      <c r="AP85" s="136">
        <v>11</v>
      </c>
      <c r="AQ85" s="136">
        <v>11</v>
      </c>
      <c r="AS85" s="158">
        <f t="shared" si="51"/>
        <v>575</v>
      </c>
      <c r="AT85" s="136">
        <f t="shared" si="52"/>
        <v>9.7407718204916556</v>
      </c>
      <c r="AU85" s="136">
        <f t="shared" si="53"/>
        <v>12.740771820491656</v>
      </c>
      <c r="AV85" s="136">
        <f t="shared" si="54"/>
        <v>10.740771820491656</v>
      </c>
      <c r="AW85" s="136">
        <f t="shared" si="55"/>
        <v>11.740771820491656</v>
      </c>
      <c r="AX85" s="136">
        <f t="shared" si="58"/>
        <v>11.740771820491656</v>
      </c>
    </row>
    <row r="86" spans="7:51" x14ac:dyDescent="0.2">
      <c r="G86" s="124"/>
      <c r="H86" s="124"/>
      <c r="I86" s="124"/>
      <c r="J86" s="124"/>
      <c r="K86" s="124"/>
      <c r="L86" s="124"/>
      <c r="M86" s="124"/>
      <c r="N86" s="64"/>
      <c r="O86" s="64"/>
      <c r="P86" s="64"/>
      <c r="Q86" s="64"/>
      <c r="R86" s="64"/>
      <c r="S86" s="64"/>
      <c r="T86" s="64"/>
      <c r="U86" s="64"/>
      <c r="V86" s="64"/>
      <c r="W86" s="64"/>
      <c r="X86" s="64"/>
      <c r="Y86" s="64"/>
      <c r="Z86" s="64"/>
      <c r="AA86" s="64"/>
      <c r="AB86" s="64"/>
      <c r="AC86" s="64"/>
      <c r="AD86" s="64"/>
      <c r="AE86" s="64"/>
      <c r="AF86" s="64"/>
      <c r="AG86" s="64"/>
      <c r="AH86" s="64"/>
      <c r="AI86" s="140">
        <v>625</v>
      </c>
      <c r="AJ86" s="141">
        <f t="shared" si="50"/>
        <v>-0.37389274115983184</v>
      </c>
      <c r="AK86" s="136">
        <f t="shared" si="56"/>
        <v>-0.37389274115983184</v>
      </c>
      <c r="AL86" s="158">
        <f t="shared" si="57"/>
        <v>625</v>
      </c>
      <c r="AO86" s="136">
        <v>11</v>
      </c>
      <c r="AP86" s="136">
        <v>11</v>
      </c>
      <c r="AQ86" s="136">
        <v>11</v>
      </c>
      <c r="AS86" s="158">
        <f t="shared" si="51"/>
        <v>625</v>
      </c>
      <c r="AV86" s="136">
        <f>AO86-$AK86</f>
        <v>11.373892741159832</v>
      </c>
      <c r="AW86" s="136">
        <f>AP86-$AK86</f>
        <v>11.373892741159832</v>
      </c>
      <c r="AX86" s="136">
        <f t="shared" si="58"/>
        <v>11.373892741159832</v>
      </c>
    </row>
    <row r="87" spans="7:51" ht="12.75" thickBot="1" x14ac:dyDescent="0.25">
      <c r="G87" s="124"/>
      <c r="H87" s="124"/>
      <c r="I87" s="124"/>
      <c r="J87" s="124"/>
      <c r="K87" s="124"/>
      <c r="L87" s="124"/>
      <c r="M87" s="124"/>
      <c r="N87" s="64"/>
      <c r="O87" s="64"/>
      <c r="P87" s="64"/>
      <c r="Q87" s="64"/>
      <c r="R87" s="64"/>
      <c r="S87" s="64"/>
      <c r="T87" s="64"/>
      <c r="U87" s="64"/>
      <c r="V87" s="64"/>
      <c r="W87" s="64"/>
      <c r="X87" s="64"/>
      <c r="Y87" s="64"/>
      <c r="Z87" s="64"/>
      <c r="AA87" s="64"/>
      <c r="AB87" s="64"/>
      <c r="AC87" s="64"/>
      <c r="AD87" s="64"/>
      <c r="AE87" s="64"/>
      <c r="AF87" s="64"/>
      <c r="AG87" s="64"/>
      <c r="AH87" s="64"/>
      <c r="AI87" s="140"/>
      <c r="AJ87" s="143"/>
      <c r="AL87" s="158"/>
      <c r="AS87" s="136" t="s">
        <v>300</v>
      </c>
      <c r="AT87" s="136">
        <f t="shared" ref="AT87:AY87" si="60">AVERAGE(AT77:AT86)</f>
        <v>10.137449309205795</v>
      </c>
      <c r="AU87" s="136">
        <f t="shared" si="60"/>
        <v>11.359671531428019</v>
      </c>
      <c r="AV87" s="136">
        <f t="shared" si="60"/>
        <v>11.061093652401201</v>
      </c>
      <c r="AW87" s="136">
        <f t="shared" si="60"/>
        <v>11.561093652401201</v>
      </c>
      <c r="AX87" s="136">
        <f t="shared" si="60"/>
        <v>11.848443867697274</v>
      </c>
      <c r="AY87" s="136">
        <f t="shared" si="60"/>
        <v>12.275362002887237</v>
      </c>
    </row>
    <row r="88" spans="7:51" x14ac:dyDescent="0.2">
      <c r="G88" s="124"/>
      <c r="H88" s="124"/>
      <c r="I88" s="124"/>
      <c r="J88" s="124"/>
      <c r="K88" s="124"/>
      <c r="L88" s="124"/>
      <c r="M88" s="124"/>
      <c r="N88" s="64"/>
      <c r="O88" s="64"/>
      <c r="P88" s="64"/>
      <c r="Q88" s="64"/>
      <c r="R88" s="64"/>
      <c r="S88" s="64"/>
      <c r="T88" s="64"/>
      <c r="U88" s="64"/>
      <c r="V88" s="64"/>
      <c r="W88" s="64"/>
      <c r="X88" s="64"/>
      <c r="Y88" s="64"/>
      <c r="Z88" s="64"/>
      <c r="AA88" s="64"/>
      <c r="AB88" s="64"/>
      <c r="AC88" s="64"/>
      <c r="AD88" s="64"/>
      <c r="AE88" s="64"/>
      <c r="AF88" s="64"/>
      <c r="AG88" s="64"/>
      <c r="AH88" s="64"/>
    </row>
    <row r="89" spans="7:51" ht="12.75" thickBot="1" x14ac:dyDescent="0.25">
      <c r="G89" s="124"/>
      <c r="H89" s="124"/>
      <c r="I89" s="124"/>
      <c r="J89" s="124"/>
      <c r="K89" s="124"/>
      <c r="L89" s="124"/>
      <c r="M89" s="124"/>
      <c r="N89" s="64"/>
      <c r="O89" s="64"/>
      <c r="P89" s="64"/>
      <c r="Q89" s="64"/>
      <c r="R89" s="64"/>
      <c r="S89" s="64"/>
      <c r="T89" s="64"/>
      <c r="U89" s="64"/>
      <c r="V89" s="64"/>
      <c r="W89" s="64"/>
      <c r="X89" s="64"/>
      <c r="Y89" s="64"/>
      <c r="Z89" s="64"/>
      <c r="AA89" s="64"/>
      <c r="AB89" s="64"/>
      <c r="AC89" s="64"/>
      <c r="AD89" s="64"/>
      <c r="AE89" s="64"/>
      <c r="AF89" s="64"/>
      <c r="AG89" s="64"/>
      <c r="AH89" s="64"/>
      <c r="AI89" s="137" t="s">
        <v>35</v>
      </c>
      <c r="AJ89" s="139"/>
      <c r="AK89" s="136" t="s">
        <v>240</v>
      </c>
      <c r="AM89" s="136">
        <v>500</v>
      </c>
      <c r="AN89" s="136">
        <v>800</v>
      </c>
      <c r="AO89" s="136">
        <v>800</v>
      </c>
      <c r="AP89" s="136">
        <v>1000</v>
      </c>
      <c r="AQ89" s="136">
        <v>1200</v>
      </c>
      <c r="AR89" s="136">
        <v>1400</v>
      </c>
      <c r="AT89" s="136">
        <f t="shared" ref="AT89:AY89" si="61">AM89</f>
        <v>500</v>
      </c>
      <c r="AU89" s="136">
        <f t="shared" si="61"/>
        <v>800</v>
      </c>
      <c r="AV89" s="136">
        <f t="shared" si="61"/>
        <v>800</v>
      </c>
      <c r="AW89" s="136">
        <f t="shared" si="61"/>
        <v>1000</v>
      </c>
      <c r="AX89" s="136">
        <f t="shared" si="61"/>
        <v>1200</v>
      </c>
      <c r="AY89" s="136">
        <f t="shared" si="61"/>
        <v>1400</v>
      </c>
    </row>
    <row r="90" spans="7:51" x14ac:dyDescent="0.2">
      <c r="G90" s="124"/>
      <c r="H90" s="124"/>
      <c r="I90" s="124"/>
      <c r="J90" s="124"/>
      <c r="K90" s="124"/>
      <c r="L90" s="124"/>
      <c r="M90" s="124"/>
      <c r="N90" s="64"/>
      <c r="O90" s="64"/>
      <c r="P90" s="64"/>
      <c r="Q90" s="64"/>
      <c r="R90" s="64"/>
      <c r="S90" s="64"/>
      <c r="T90" s="64"/>
      <c r="U90" s="64"/>
      <c r="V90" s="64"/>
      <c r="W90" s="64"/>
      <c r="X90" s="64"/>
      <c r="Y90" s="64"/>
      <c r="Z90" s="64"/>
      <c r="AA90" s="64"/>
      <c r="AB90" s="64"/>
      <c r="AC90" s="64"/>
      <c r="AD90" s="64"/>
      <c r="AE90" s="64"/>
      <c r="AF90" s="64"/>
      <c r="AG90" s="64"/>
      <c r="AH90" s="64"/>
      <c r="AI90" s="140">
        <v>175</v>
      </c>
      <c r="AJ90" s="142">
        <f t="shared" ref="AJ90:AJ99" si="62">IF(Mast_Rasse=3,4.4*LN(AI90)+$V$24*1.06-28.7,0.173+0.01372*AI90+1.47*Mast_LMZ/1000)*$U$5</f>
        <v>-5.9749417147365342</v>
      </c>
      <c r="AK90" s="136">
        <f>AJ90*0.7</f>
        <v>-4.1824592003155736</v>
      </c>
      <c r="AL90" s="158">
        <f>AI90</f>
        <v>175</v>
      </c>
      <c r="AM90" s="136">
        <v>3</v>
      </c>
      <c r="AN90" s="136">
        <v>4</v>
      </c>
      <c r="AO90" s="136">
        <v>4</v>
      </c>
      <c r="AP90" s="136">
        <v>4</v>
      </c>
      <c r="AS90" s="158">
        <f t="shared" ref="AS90:AS99" si="63">AI90</f>
        <v>175</v>
      </c>
      <c r="AT90" s="136">
        <f t="shared" ref="AT90:AT98" si="64">AM90-$AK90</f>
        <v>7.1824592003155736</v>
      </c>
      <c r="AU90" s="136">
        <f t="shared" ref="AU90:AU98" si="65">AN90-$AK90</f>
        <v>8.1824592003155736</v>
      </c>
      <c r="AV90" s="136">
        <f t="shared" ref="AV90:AV98" si="66">AO90-$AK90</f>
        <v>8.1824592003155736</v>
      </c>
      <c r="AW90" s="136">
        <f t="shared" ref="AW90:AW98" si="67">AP90-$AK90</f>
        <v>8.1824592003155736</v>
      </c>
    </row>
    <row r="91" spans="7:51" x14ac:dyDescent="0.2">
      <c r="G91" s="124"/>
      <c r="H91" s="124"/>
      <c r="I91" s="124"/>
      <c r="J91" s="124"/>
      <c r="K91" s="124"/>
      <c r="L91" s="124"/>
      <c r="M91" s="124"/>
      <c r="N91" s="64"/>
      <c r="O91" s="64"/>
      <c r="P91" s="64"/>
      <c r="Q91" s="64"/>
      <c r="R91" s="64"/>
      <c r="S91" s="64"/>
      <c r="T91" s="64"/>
      <c r="U91" s="64"/>
      <c r="V91" s="64"/>
      <c r="W91" s="64"/>
      <c r="X91" s="64"/>
      <c r="Y91" s="64"/>
      <c r="Z91" s="64"/>
      <c r="AA91" s="64"/>
      <c r="AB91" s="64"/>
      <c r="AC91" s="64"/>
      <c r="AD91" s="64"/>
      <c r="AE91" s="64"/>
      <c r="AF91" s="64"/>
      <c r="AG91" s="64"/>
      <c r="AH91" s="64"/>
      <c r="AI91" s="140">
        <v>225</v>
      </c>
      <c r="AJ91" s="141">
        <f t="shared" si="62"/>
        <v>-4.869158230300549</v>
      </c>
      <c r="AK91" s="136">
        <f t="shared" ref="AK91:AK99" si="68">AJ91*0.7</f>
        <v>-3.408410761210384</v>
      </c>
      <c r="AL91" s="158">
        <f t="shared" ref="AL91:AL99" si="69">AI91</f>
        <v>225</v>
      </c>
      <c r="AM91" s="136">
        <v>4</v>
      </c>
      <c r="AN91" s="136">
        <v>4</v>
      </c>
      <c r="AO91" s="136">
        <v>5</v>
      </c>
      <c r="AP91" s="136">
        <v>5</v>
      </c>
      <c r="AQ91" s="136">
        <v>5</v>
      </c>
      <c r="AS91" s="158">
        <f t="shared" si="63"/>
        <v>225</v>
      </c>
      <c r="AT91" s="136">
        <f t="shared" si="64"/>
        <v>7.4084107612103836</v>
      </c>
      <c r="AU91" s="136">
        <f t="shared" si="65"/>
        <v>7.4084107612103836</v>
      </c>
      <c r="AV91" s="136">
        <f t="shared" si="66"/>
        <v>8.4084107612103836</v>
      </c>
      <c r="AW91" s="136">
        <f t="shared" si="67"/>
        <v>8.4084107612103836</v>
      </c>
      <c r="AX91" s="136">
        <f t="shared" ref="AX91:AX99" si="70">AQ91-$AK91</f>
        <v>8.4084107612103836</v>
      </c>
    </row>
    <row r="92" spans="7:51" x14ac:dyDescent="0.2">
      <c r="G92" s="124"/>
      <c r="H92" s="124"/>
      <c r="I92" s="124"/>
      <c r="J92" s="124"/>
      <c r="K92" s="124"/>
      <c r="L92" s="124"/>
      <c r="M92" s="124"/>
      <c r="N92" s="64"/>
      <c r="O92" s="64"/>
      <c r="P92" s="64"/>
      <c r="Q92" s="64"/>
      <c r="R92" s="64"/>
      <c r="S92" s="64"/>
      <c r="T92" s="64"/>
      <c r="U92" s="64"/>
      <c r="V92" s="64"/>
      <c r="W92" s="64"/>
      <c r="X92" s="64"/>
      <c r="Y92" s="64"/>
      <c r="Z92" s="64"/>
      <c r="AA92" s="64"/>
      <c r="AB92" s="64"/>
      <c r="AC92" s="64"/>
      <c r="AD92" s="64"/>
      <c r="AE92" s="64"/>
      <c r="AF92" s="64"/>
      <c r="AG92" s="64"/>
      <c r="AH92" s="64"/>
      <c r="AI92" s="140">
        <v>275</v>
      </c>
      <c r="AJ92" s="141">
        <f t="shared" si="62"/>
        <v>-3.9862071702670825</v>
      </c>
      <c r="AK92" s="136">
        <f t="shared" si="68"/>
        <v>-2.7903450191869577</v>
      </c>
      <c r="AL92" s="158">
        <f t="shared" si="69"/>
        <v>275</v>
      </c>
      <c r="AM92" s="136">
        <v>4</v>
      </c>
      <c r="AN92" s="136">
        <v>5</v>
      </c>
      <c r="AO92" s="136">
        <v>5</v>
      </c>
      <c r="AP92" s="136">
        <v>5</v>
      </c>
      <c r="AQ92" s="136">
        <v>6</v>
      </c>
      <c r="AR92" s="136">
        <v>6</v>
      </c>
      <c r="AS92" s="158">
        <f t="shared" si="63"/>
        <v>275</v>
      </c>
      <c r="AT92" s="136">
        <f t="shared" si="64"/>
        <v>6.7903450191869581</v>
      </c>
      <c r="AU92" s="136">
        <f t="shared" si="65"/>
        <v>7.7903450191869581</v>
      </c>
      <c r="AV92" s="136">
        <f t="shared" si="66"/>
        <v>7.7903450191869581</v>
      </c>
      <c r="AW92" s="136">
        <f t="shared" si="67"/>
        <v>7.7903450191869581</v>
      </c>
      <c r="AX92" s="136">
        <f t="shared" si="70"/>
        <v>8.7903450191869581</v>
      </c>
      <c r="AY92" s="136">
        <f t="shared" ref="AY92:AY97" si="71">AR92-$AK92</f>
        <v>8.7903450191869581</v>
      </c>
    </row>
    <row r="93" spans="7:51" x14ac:dyDescent="0.2">
      <c r="G93" s="124"/>
      <c r="H93" s="124"/>
      <c r="I93" s="124"/>
      <c r="J93" s="124"/>
      <c r="K93" s="124"/>
      <c r="L93" s="124"/>
      <c r="M93" s="124"/>
      <c r="N93" s="64"/>
      <c r="O93" s="64"/>
      <c r="P93" s="64"/>
      <c r="Q93" s="64"/>
      <c r="R93" s="64"/>
      <c r="S93" s="64"/>
      <c r="T93" s="64"/>
      <c r="U93" s="64"/>
      <c r="V93" s="64"/>
      <c r="W93" s="64"/>
      <c r="X93" s="64"/>
      <c r="Y93" s="64"/>
      <c r="Z93" s="64"/>
      <c r="AA93" s="64"/>
      <c r="AB93" s="64"/>
      <c r="AC93" s="64"/>
      <c r="AD93" s="64"/>
      <c r="AE93" s="64"/>
      <c r="AF93" s="64"/>
      <c r="AG93" s="64"/>
      <c r="AH93" s="64"/>
      <c r="AI93" s="140">
        <v>325</v>
      </c>
      <c r="AJ93" s="141">
        <f t="shared" si="62"/>
        <v>-3.251169197749153</v>
      </c>
      <c r="AK93" s="136">
        <f t="shared" si="68"/>
        <v>-2.2758184384244071</v>
      </c>
      <c r="AL93" s="158">
        <f t="shared" si="69"/>
        <v>325</v>
      </c>
      <c r="AM93" s="136">
        <v>5</v>
      </c>
      <c r="AN93" s="136">
        <v>6</v>
      </c>
      <c r="AO93" s="136">
        <v>5</v>
      </c>
      <c r="AP93" s="136">
        <v>6</v>
      </c>
      <c r="AQ93" s="136">
        <v>6</v>
      </c>
      <c r="AR93" s="136">
        <v>7</v>
      </c>
      <c r="AS93" s="158">
        <f t="shared" si="63"/>
        <v>325</v>
      </c>
      <c r="AT93" s="136">
        <f t="shared" si="64"/>
        <v>7.2758184384244071</v>
      </c>
      <c r="AU93" s="136">
        <f t="shared" si="65"/>
        <v>8.2758184384244071</v>
      </c>
      <c r="AV93" s="136">
        <f t="shared" si="66"/>
        <v>7.2758184384244071</v>
      </c>
      <c r="AW93" s="136">
        <f t="shared" si="67"/>
        <v>8.2758184384244071</v>
      </c>
      <c r="AX93" s="136">
        <f t="shared" si="70"/>
        <v>8.2758184384244071</v>
      </c>
      <c r="AY93" s="136">
        <f t="shared" si="71"/>
        <v>9.2758184384244071</v>
      </c>
    </row>
    <row r="94" spans="7:51" x14ac:dyDescent="0.2">
      <c r="G94" s="124"/>
      <c r="H94" s="124"/>
      <c r="I94" s="124"/>
      <c r="J94" s="124"/>
      <c r="K94" s="124"/>
      <c r="L94" s="124"/>
      <c r="M94" s="124"/>
      <c r="N94" s="64"/>
      <c r="O94" s="64"/>
      <c r="P94" s="64"/>
      <c r="Q94" s="64"/>
      <c r="R94" s="64"/>
      <c r="S94" s="64"/>
      <c r="T94" s="64"/>
      <c r="U94" s="64"/>
      <c r="V94" s="64"/>
      <c r="W94" s="64"/>
      <c r="X94" s="64"/>
      <c r="Y94" s="64"/>
      <c r="Z94" s="64"/>
      <c r="AA94" s="64"/>
      <c r="AB94" s="64"/>
      <c r="AC94" s="64"/>
      <c r="AD94" s="64"/>
      <c r="AE94" s="64"/>
      <c r="AF94" s="64"/>
      <c r="AG94" s="64"/>
      <c r="AH94" s="64"/>
      <c r="AI94" s="140">
        <v>375</v>
      </c>
      <c r="AJ94" s="141">
        <f t="shared" si="62"/>
        <v>-2.6215254857301922</v>
      </c>
      <c r="AK94" s="136">
        <f t="shared" si="68"/>
        <v>-1.8350678400111344</v>
      </c>
      <c r="AL94" s="158">
        <f t="shared" si="69"/>
        <v>375</v>
      </c>
      <c r="AM94" s="136">
        <v>5</v>
      </c>
      <c r="AN94" s="136">
        <v>6</v>
      </c>
      <c r="AO94" s="136">
        <v>6</v>
      </c>
      <c r="AP94" s="136">
        <v>6</v>
      </c>
      <c r="AQ94" s="136">
        <v>7</v>
      </c>
      <c r="AR94" s="136">
        <v>7</v>
      </c>
      <c r="AS94" s="158">
        <f t="shared" si="63"/>
        <v>375</v>
      </c>
      <c r="AT94" s="136">
        <f t="shared" si="64"/>
        <v>6.8350678400111349</v>
      </c>
      <c r="AU94" s="136">
        <f t="shared" si="65"/>
        <v>7.8350678400111349</v>
      </c>
      <c r="AV94" s="136">
        <f t="shared" si="66"/>
        <v>7.8350678400111349</v>
      </c>
      <c r="AW94" s="136">
        <f t="shared" si="67"/>
        <v>7.8350678400111349</v>
      </c>
      <c r="AX94" s="136">
        <f t="shared" si="70"/>
        <v>8.8350678400111349</v>
      </c>
      <c r="AY94" s="136">
        <f t="shared" si="71"/>
        <v>8.8350678400111349</v>
      </c>
    </row>
    <row r="95" spans="7:51" x14ac:dyDescent="0.2">
      <c r="G95" s="124"/>
      <c r="H95" s="124"/>
      <c r="I95" s="124"/>
      <c r="J95" s="124"/>
      <c r="K95" s="124"/>
      <c r="L95" s="124"/>
      <c r="M95" s="124"/>
      <c r="N95" s="64"/>
      <c r="O95" s="64"/>
      <c r="P95" s="64"/>
      <c r="Q95" s="64"/>
      <c r="R95" s="64"/>
      <c r="S95" s="64"/>
      <c r="T95" s="64"/>
      <c r="U95" s="64"/>
      <c r="V95" s="64"/>
      <c r="W95" s="64"/>
      <c r="X95" s="64"/>
      <c r="Y95" s="64"/>
      <c r="Z95" s="64"/>
      <c r="AA95" s="64"/>
      <c r="AB95" s="64"/>
      <c r="AC95" s="64"/>
      <c r="AD95" s="64"/>
      <c r="AE95" s="64"/>
      <c r="AF95" s="64"/>
      <c r="AG95" s="64"/>
      <c r="AH95" s="64"/>
      <c r="AI95" s="140">
        <v>425</v>
      </c>
      <c r="AJ95" s="141">
        <f t="shared" si="62"/>
        <v>-2.070807656732562</v>
      </c>
      <c r="AK95" s="136">
        <f t="shared" si="68"/>
        <v>-1.4495653597127933</v>
      </c>
      <c r="AL95" s="158">
        <f t="shared" si="69"/>
        <v>425</v>
      </c>
      <c r="AM95" s="136">
        <v>6</v>
      </c>
      <c r="AN95" s="136">
        <v>7</v>
      </c>
      <c r="AO95" s="136">
        <v>6</v>
      </c>
      <c r="AP95" s="136">
        <v>7</v>
      </c>
      <c r="AQ95" s="136">
        <v>7</v>
      </c>
      <c r="AR95" s="136">
        <v>7</v>
      </c>
      <c r="AS95" s="158">
        <f t="shared" si="63"/>
        <v>425</v>
      </c>
      <c r="AT95" s="136">
        <f t="shared" si="64"/>
        <v>7.4495653597127935</v>
      </c>
      <c r="AU95" s="136">
        <f t="shared" si="65"/>
        <v>8.4495653597127927</v>
      </c>
      <c r="AV95" s="136">
        <f t="shared" si="66"/>
        <v>7.4495653597127935</v>
      </c>
      <c r="AW95" s="136">
        <f t="shared" si="67"/>
        <v>8.4495653597127927</v>
      </c>
      <c r="AX95" s="136">
        <f t="shared" si="70"/>
        <v>8.4495653597127927</v>
      </c>
      <c r="AY95" s="136">
        <f t="shared" si="71"/>
        <v>8.4495653597127927</v>
      </c>
    </row>
    <row r="96" spans="7:51" x14ac:dyDescent="0.2">
      <c r="G96" s="124"/>
      <c r="H96" s="124"/>
      <c r="I96" s="124"/>
      <c r="J96" s="124"/>
      <c r="K96" s="124"/>
      <c r="L96" s="124"/>
      <c r="M96" s="124"/>
      <c r="N96" s="64"/>
      <c r="O96" s="64"/>
      <c r="P96" s="64"/>
      <c r="Q96" s="64"/>
      <c r="R96" s="64"/>
      <c r="S96" s="64"/>
      <c r="T96" s="64"/>
      <c r="U96" s="64"/>
      <c r="V96" s="64"/>
      <c r="W96" s="64"/>
      <c r="X96" s="64"/>
      <c r="Y96" s="64"/>
      <c r="Z96" s="64"/>
      <c r="AA96" s="64"/>
      <c r="AB96" s="64"/>
      <c r="AC96" s="64"/>
      <c r="AD96" s="64"/>
      <c r="AE96" s="64"/>
      <c r="AF96" s="64"/>
      <c r="AG96" s="64"/>
      <c r="AH96" s="64"/>
      <c r="AI96" s="140">
        <v>475</v>
      </c>
      <c r="AJ96" s="141">
        <f t="shared" si="62"/>
        <v>-1.581414862247577</v>
      </c>
      <c r="AK96" s="136">
        <f t="shared" si="68"/>
        <v>-1.1069904035733038</v>
      </c>
      <c r="AL96" s="158">
        <f t="shared" si="69"/>
        <v>475</v>
      </c>
      <c r="AM96" s="136">
        <v>6</v>
      </c>
      <c r="AN96" s="136">
        <v>7</v>
      </c>
      <c r="AO96" s="136">
        <v>7</v>
      </c>
      <c r="AP96" s="136">
        <v>7</v>
      </c>
      <c r="AQ96" s="136">
        <v>7</v>
      </c>
      <c r="AR96" s="136">
        <v>8</v>
      </c>
      <c r="AS96" s="158">
        <f t="shared" si="63"/>
        <v>475</v>
      </c>
      <c r="AT96" s="136">
        <f t="shared" si="64"/>
        <v>7.1069904035733042</v>
      </c>
      <c r="AU96" s="136">
        <f t="shared" si="65"/>
        <v>8.1069904035733042</v>
      </c>
      <c r="AV96" s="136">
        <f t="shared" si="66"/>
        <v>8.1069904035733042</v>
      </c>
      <c r="AW96" s="136">
        <f t="shared" si="67"/>
        <v>8.1069904035733042</v>
      </c>
      <c r="AX96" s="136">
        <f t="shared" si="70"/>
        <v>8.1069904035733042</v>
      </c>
      <c r="AY96" s="136">
        <f t="shared" si="71"/>
        <v>9.1069904035733042</v>
      </c>
    </row>
    <row r="97" spans="7:51" x14ac:dyDescent="0.2">
      <c r="G97" s="124"/>
      <c r="H97" s="124"/>
      <c r="I97" s="124"/>
      <c r="J97" s="124"/>
      <c r="K97" s="124"/>
      <c r="L97" s="124"/>
      <c r="M97" s="124"/>
      <c r="N97" s="64"/>
      <c r="O97" s="64"/>
      <c r="P97" s="64"/>
      <c r="Q97" s="64"/>
      <c r="R97" s="64"/>
      <c r="S97" s="64"/>
      <c r="T97" s="64"/>
      <c r="U97" s="64"/>
      <c r="V97" s="64"/>
      <c r="W97" s="64"/>
      <c r="X97" s="64"/>
      <c r="Y97" s="64"/>
      <c r="Z97" s="64"/>
      <c r="AA97" s="64"/>
      <c r="AB97" s="64"/>
      <c r="AC97" s="64"/>
      <c r="AD97" s="64"/>
      <c r="AE97" s="64"/>
      <c r="AF97" s="64"/>
      <c r="AG97" s="64"/>
      <c r="AH97" s="64"/>
      <c r="AI97" s="140">
        <v>525</v>
      </c>
      <c r="AJ97" s="141">
        <f t="shared" si="62"/>
        <v>-1.1410476445968527</v>
      </c>
      <c r="AK97" s="136">
        <f t="shared" si="68"/>
        <v>-0.79873335121779687</v>
      </c>
      <c r="AL97" s="158">
        <f t="shared" si="69"/>
        <v>525</v>
      </c>
      <c r="AM97" s="136">
        <v>7</v>
      </c>
      <c r="AN97" s="136">
        <v>8</v>
      </c>
      <c r="AO97" s="136">
        <v>7</v>
      </c>
      <c r="AP97" s="136">
        <v>7</v>
      </c>
      <c r="AQ97" s="136">
        <v>8</v>
      </c>
      <c r="AR97" s="136">
        <v>8</v>
      </c>
      <c r="AS97" s="158">
        <f t="shared" si="63"/>
        <v>525</v>
      </c>
      <c r="AT97" s="136">
        <f t="shared" si="64"/>
        <v>7.7987333512177965</v>
      </c>
      <c r="AU97" s="136">
        <f t="shared" si="65"/>
        <v>8.7987333512177965</v>
      </c>
      <c r="AV97" s="136">
        <f t="shared" si="66"/>
        <v>7.7987333512177965</v>
      </c>
      <c r="AW97" s="136">
        <f t="shared" si="67"/>
        <v>7.7987333512177965</v>
      </c>
      <c r="AX97" s="136">
        <f t="shared" si="70"/>
        <v>8.7987333512177965</v>
      </c>
      <c r="AY97" s="136">
        <f t="shared" si="71"/>
        <v>8.7987333512177965</v>
      </c>
    </row>
    <row r="98" spans="7:51" x14ac:dyDescent="0.2">
      <c r="G98" s="124"/>
      <c r="H98" s="124"/>
      <c r="I98" s="124"/>
      <c r="J98" s="124"/>
      <c r="K98" s="124"/>
      <c r="L98" s="124"/>
      <c r="M98" s="124"/>
      <c r="N98" s="64"/>
      <c r="O98" s="64"/>
      <c r="P98" s="64"/>
      <c r="Q98" s="64"/>
      <c r="R98" s="64"/>
      <c r="S98" s="64"/>
      <c r="T98" s="64"/>
      <c r="U98" s="64"/>
      <c r="V98" s="64"/>
      <c r="W98" s="64"/>
      <c r="X98" s="64"/>
      <c r="Y98" s="64"/>
      <c r="Z98" s="64"/>
      <c r="AA98" s="64"/>
      <c r="AB98" s="64"/>
      <c r="AC98" s="64"/>
      <c r="AD98" s="64"/>
      <c r="AE98" s="64"/>
      <c r="AF98" s="64"/>
      <c r="AG98" s="64"/>
      <c r="AH98" s="64"/>
      <c r="AI98" s="140">
        <v>575</v>
      </c>
      <c r="AJ98" s="141">
        <f t="shared" si="62"/>
        <v>-0.74077182049165557</v>
      </c>
      <c r="AK98" s="136">
        <f t="shared" si="68"/>
        <v>-0.51854027434415884</v>
      </c>
      <c r="AL98" s="158">
        <f t="shared" si="69"/>
        <v>575</v>
      </c>
      <c r="AM98" s="136">
        <v>7</v>
      </c>
      <c r="AN98" s="136">
        <v>9</v>
      </c>
      <c r="AO98" s="136">
        <v>7</v>
      </c>
      <c r="AP98" s="136">
        <v>7</v>
      </c>
      <c r="AQ98" s="136">
        <v>8</v>
      </c>
      <c r="AS98" s="158">
        <f t="shared" si="63"/>
        <v>575</v>
      </c>
      <c r="AT98" s="136">
        <f t="shared" si="64"/>
        <v>7.5185402743441587</v>
      </c>
      <c r="AU98" s="136">
        <f t="shared" si="65"/>
        <v>9.5185402743441596</v>
      </c>
      <c r="AV98" s="136">
        <f t="shared" si="66"/>
        <v>7.5185402743441587</v>
      </c>
      <c r="AW98" s="136">
        <f t="shared" si="67"/>
        <v>7.5185402743441587</v>
      </c>
      <c r="AX98" s="136">
        <f t="shared" si="70"/>
        <v>8.5185402743441596</v>
      </c>
    </row>
    <row r="99" spans="7:51" x14ac:dyDescent="0.2">
      <c r="G99" s="124"/>
      <c r="H99" s="124"/>
      <c r="I99" s="124"/>
      <c r="J99" s="124"/>
      <c r="K99" s="124"/>
      <c r="L99" s="124"/>
      <c r="M99" s="124"/>
      <c r="N99" s="64"/>
      <c r="O99" s="64"/>
      <c r="P99" s="64"/>
      <c r="Q99" s="64"/>
      <c r="R99" s="64"/>
      <c r="S99" s="64"/>
      <c r="T99" s="64"/>
      <c r="U99" s="64"/>
      <c r="V99" s="64"/>
      <c r="W99" s="64"/>
      <c r="X99" s="64"/>
      <c r="Y99" s="64"/>
      <c r="Z99" s="64"/>
      <c r="AA99" s="64"/>
      <c r="AB99" s="64"/>
      <c r="AC99" s="64"/>
      <c r="AD99" s="64"/>
      <c r="AE99" s="64"/>
      <c r="AF99" s="64"/>
      <c r="AG99" s="64"/>
      <c r="AH99" s="64"/>
      <c r="AI99" s="140">
        <v>625</v>
      </c>
      <c r="AJ99" s="141">
        <f t="shared" si="62"/>
        <v>-0.37389274115983184</v>
      </c>
      <c r="AK99" s="136">
        <f t="shared" si="68"/>
        <v>-0.26172491881188226</v>
      </c>
      <c r="AL99" s="158">
        <f t="shared" si="69"/>
        <v>625</v>
      </c>
      <c r="AO99" s="136">
        <v>7</v>
      </c>
      <c r="AP99" s="136">
        <v>8</v>
      </c>
      <c r="AQ99" s="136">
        <v>8</v>
      </c>
      <c r="AS99" s="158">
        <f t="shared" si="63"/>
        <v>625</v>
      </c>
      <c r="AV99" s="136">
        <f>AO99-$AK99</f>
        <v>7.2617249188118826</v>
      </c>
      <c r="AW99" s="136">
        <f>AP99-$AK99</f>
        <v>8.2617249188118826</v>
      </c>
      <c r="AX99" s="136">
        <f t="shared" si="70"/>
        <v>8.2617249188118826</v>
      </c>
    </row>
    <row r="100" spans="7:51" ht="12.75" thickBot="1" x14ac:dyDescent="0.25">
      <c r="G100" s="124"/>
      <c r="H100" s="124"/>
      <c r="I100" s="124"/>
      <c r="J100" s="124"/>
      <c r="K100" s="124"/>
      <c r="L100" s="124"/>
      <c r="M100" s="124"/>
      <c r="N100" s="64"/>
      <c r="O100" s="64"/>
      <c r="P100" s="64"/>
      <c r="Q100" s="64"/>
      <c r="R100" s="64"/>
      <c r="S100" s="64"/>
      <c r="T100" s="64"/>
      <c r="U100" s="64"/>
      <c r="V100" s="64"/>
      <c r="W100" s="64"/>
      <c r="X100" s="64"/>
      <c r="Y100" s="64"/>
      <c r="Z100" s="64"/>
      <c r="AA100" s="64"/>
      <c r="AB100" s="64"/>
      <c r="AC100" s="64"/>
      <c r="AD100" s="64"/>
      <c r="AE100" s="64"/>
      <c r="AF100" s="64"/>
      <c r="AG100" s="64"/>
      <c r="AH100" s="64"/>
      <c r="AI100" s="140"/>
      <c r="AJ100" s="143"/>
      <c r="AL100" s="158"/>
      <c r="AS100" s="136" t="s">
        <v>301</v>
      </c>
      <c r="AT100" s="136">
        <f t="shared" ref="AT100:AY100" si="72">AVERAGE(AT90:AT99)</f>
        <v>7.2628811831107232</v>
      </c>
      <c r="AU100" s="136">
        <f t="shared" si="72"/>
        <v>8.2628811831107232</v>
      </c>
      <c r="AV100" s="136">
        <f t="shared" si="72"/>
        <v>7.7627655566808382</v>
      </c>
      <c r="AW100" s="136">
        <f t="shared" si="72"/>
        <v>8.0627655566808389</v>
      </c>
      <c r="AX100" s="136">
        <f t="shared" si="72"/>
        <v>8.4939107073880908</v>
      </c>
      <c r="AY100" s="136">
        <f t="shared" si="72"/>
        <v>8.8760867353544004</v>
      </c>
    </row>
    <row r="101" spans="7:51" x14ac:dyDescent="0.2">
      <c r="G101" s="124"/>
      <c r="H101" s="124"/>
      <c r="I101" s="124"/>
      <c r="J101" s="124"/>
      <c r="K101" s="124"/>
      <c r="L101" s="124"/>
      <c r="M101" s="124"/>
      <c r="N101" s="64"/>
      <c r="O101" s="64"/>
      <c r="P101" s="64"/>
      <c r="Q101" s="64"/>
      <c r="R101" s="64"/>
      <c r="S101" s="64"/>
      <c r="T101" s="64"/>
      <c r="U101" s="64"/>
      <c r="V101" s="64"/>
      <c r="W101" s="64"/>
      <c r="X101" s="64"/>
      <c r="Y101" s="64"/>
      <c r="Z101" s="64"/>
      <c r="AA101" s="64"/>
      <c r="AB101" s="64"/>
      <c r="AC101" s="64"/>
      <c r="AD101" s="64"/>
      <c r="AE101" s="64"/>
      <c r="AF101" s="64"/>
      <c r="AG101" s="64"/>
      <c r="AH101" s="64"/>
    </row>
    <row r="102" spans="7:51" x14ac:dyDescent="0.2">
      <c r="G102" s="124"/>
      <c r="H102" s="124"/>
      <c r="I102" s="124"/>
      <c r="J102" s="124"/>
      <c r="K102" s="124"/>
      <c r="L102" s="124"/>
      <c r="M102" s="124"/>
      <c r="N102" s="64"/>
      <c r="O102" s="64"/>
      <c r="P102" s="64"/>
      <c r="Q102" s="64"/>
      <c r="R102" s="64"/>
      <c r="S102" s="64"/>
      <c r="T102" s="64"/>
      <c r="U102" s="64"/>
      <c r="V102" s="64"/>
      <c r="W102" s="64"/>
      <c r="X102" s="64"/>
      <c r="Y102" s="64"/>
      <c r="Z102" s="64"/>
      <c r="AA102" s="64"/>
      <c r="AB102" s="64"/>
      <c r="AC102" s="64"/>
      <c r="AD102" s="64"/>
      <c r="AE102" s="64"/>
      <c r="AF102" s="64"/>
      <c r="AG102" s="64"/>
      <c r="AH102" s="64"/>
    </row>
    <row r="103" spans="7:51" x14ac:dyDescent="0.2">
      <c r="G103" s="124"/>
      <c r="H103" s="124"/>
      <c r="I103" s="124"/>
      <c r="J103" s="124"/>
      <c r="K103" s="124"/>
      <c r="L103" s="124"/>
      <c r="M103" s="124"/>
      <c r="N103" s="64"/>
      <c r="O103" s="64"/>
      <c r="P103" s="64"/>
      <c r="Q103" s="64"/>
      <c r="R103" s="64"/>
      <c r="S103" s="64"/>
      <c r="T103" s="64"/>
      <c r="U103" s="64"/>
      <c r="V103" s="64"/>
      <c r="W103" s="64"/>
      <c r="X103" s="64"/>
      <c r="Y103" s="64"/>
      <c r="Z103" s="64"/>
      <c r="AA103" s="64"/>
      <c r="AB103" s="64"/>
      <c r="AC103" s="64"/>
      <c r="AD103" s="64"/>
      <c r="AE103" s="64"/>
      <c r="AF103" s="64"/>
      <c r="AG103" s="64"/>
      <c r="AH103" s="64"/>
    </row>
    <row r="104" spans="7:51" x14ac:dyDescent="0.2">
      <c r="G104" s="124"/>
      <c r="H104" s="124"/>
      <c r="I104" s="124"/>
      <c r="J104" s="124"/>
      <c r="K104" s="124"/>
      <c r="L104" s="124"/>
      <c r="M104" s="124"/>
      <c r="N104" s="64"/>
      <c r="O104" s="64"/>
      <c r="P104" s="64"/>
      <c r="Q104" s="64"/>
      <c r="R104" s="64"/>
      <c r="S104" s="64"/>
      <c r="T104" s="64"/>
      <c r="U104" s="64"/>
      <c r="V104" s="64"/>
      <c r="W104" s="64"/>
      <c r="X104" s="64"/>
      <c r="Y104" s="64"/>
      <c r="Z104" s="64"/>
      <c r="AA104" s="64"/>
      <c r="AB104" s="64"/>
      <c r="AC104" s="64"/>
      <c r="AD104" s="64"/>
      <c r="AE104" s="64"/>
      <c r="AF104" s="64"/>
      <c r="AG104" s="64"/>
      <c r="AH104" s="64"/>
    </row>
    <row r="105" spans="7:51" x14ac:dyDescent="0.2">
      <c r="G105" s="124"/>
      <c r="H105" s="124"/>
      <c r="I105" s="124"/>
      <c r="J105" s="124"/>
      <c r="K105" s="124"/>
      <c r="L105" s="124"/>
      <c r="M105" s="124"/>
      <c r="N105" s="64"/>
      <c r="O105" s="64"/>
      <c r="P105" s="64"/>
      <c r="Q105" s="64"/>
      <c r="R105" s="64"/>
      <c r="S105" s="64"/>
      <c r="T105" s="64"/>
      <c r="U105" s="64"/>
      <c r="V105" s="64"/>
      <c r="W105" s="64"/>
      <c r="X105" s="64"/>
      <c r="Y105" s="64"/>
      <c r="Z105" s="64"/>
      <c r="AA105" s="64"/>
      <c r="AB105" s="64"/>
      <c r="AC105" s="64"/>
      <c r="AD105" s="64"/>
      <c r="AE105" s="64"/>
      <c r="AF105" s="64"/>
      <c r="AG105" s="64"/>
      <c r="AH105" s="64"/>
    </row>
    <row r="106" spans="7:51" x14ac:dyDescent="0.2">
      <c r="G106" s="124"/>
      <c r="H106" s="124"/>
      <c r="I106" s="124"/>
      <c r="J106" s="124"/>
      <c r="K106" s="124"/>
      <c r="L106" s="124"/>
      <c r="M106" s="124"/>
      <c r="N106" s="64"/>
      <c r="O106" s="64"/>
      <c r="P106" s="64"/>
      <c r="Q106" s="64"/>
      <c r="R106" s="64"/>
      <c r="S106" s="64"/>
      <c r="T106" s="64"/>
      <c r="U106" s="64"/>
      <c r="V106" s="64"/>
      <c r="W106" s="64"/>
      <c r="X106" s="64"/>
      <c r="Y106" s="64"/>
      <c r="Z106" s="64"/>
      <c r="AA106" s="64"/>
      <c r="AB106" s="64"/>
      <c r="AC106" s="64"/>
      <c r="AD106" s="64"/>
      <c r="AE106" s="64"/>
      <c r="AF106" s="64"/>
      <c r="AG106" s="64"/>
      <c r="AH106" s="64"/>
    </row>
    <row r="107" spans="7:51" x14ac:dyDescent="0.2">
      <c r="G107" s="124"/>
      <c r="H107" s="124"/>
      <c r="I107" s="124"/>
      <c r="J107" s="124"/>
      <c r="K107" s="124"/>
      <c r="L107" s="124"/>
      <c r="M107" s="124"/>
      <c r="N107" s="64"/>
      <c r="O107" s="64"/>
      <c r="P107" s="64"/>
      <c r="Q107" s="64"/>
      <c r="R107" s="64"/>
      <c r="S107" s="64"/>
      <c r="T107" s="64"/>
      <c r="U107" s="64"/>
      <c r="V107" s="64"/>
      <c r="W107" s="64"/>
      <c r="X107" s="64"/>
      <c r="Y107" s="64"/>
      <c r="Z107" s="64"/>
      <c r="AA107" s="64"/>
      <c r="AB107" s="64"/>
      <c r="AC107" s="64"/>
      <c r="AD107" s="64"/>
      <c r="AE107" s="64"/>
      <c r="AF107" s="64"/>
      <c r="AG107" s="64"/>
      <c r="AH107" s="64"/>
    </row>
    <row r="108" spans="7:51" x14ac:dyDescent="0.2">
      <c r="G108" s="124"/>
      <c r="H108" s="124"/>
      <c r="I108" s="124"/>
      <c r="J108" s="124"/>
      <c r="K108" s="124"/>
      <c r="L108" s="124"/>
      <c r="M108" s="124"/>
      <c r="N108" s="64"/>
      <c r="O108" s="64"/>
      <c r="P108" s="64"/>
      <c r="Q108" s="64"/>
      <c r="R108" s="64"/>
      <c r="S108" s="64"/>
      <c r="T108" s="64"/>
      <c r="U108" s="64"/>
      <c r="V108" s="64"/>
      <c r="W108" s="64"/>
      <c r="X108" s="64"/>
      <c r="Y108" s="64"/>
      <c r="Z108" s="64"/>
      <c r="AA108" s="64"/>
      <c r="AB108" s="64"/>
      <c r="AC108" s="64"/>
      <c r="AD108" s="64"/>
      <c r="AE108" s="64"/>
      <c r="AF108" s="64"/>
      <c r="AG108" s="64"/>
      <c r="AH108" s="64"/>
    </row>
    <row r="109" spans="7:51" x14ac:dyDescent="0.2">
      <c r="G109" s="124"/>
      <c r="H109" s="124"/>
      <c r="I109" s="124"/>
      <c r="J109" s="124"/>
      <c r="K109" s="124"/>
      <c r="L109" s="124"/>
      <c r="M109" s="124"/>
      <c r="N109" s="64"/>
      <c r="O109" s="64"/>
      <c r="P109" s="64"/>
      <c r="Q109" s="64"/>
      <c r="R109" s="64"/>
      <c r="S109" s="64"/>
      <c r="T109" s="64"/>
      <c r="U109" s="64"/>
      <c r="V109" s="64"/>
      <c r="W109" s="64"/>
      <c r="X109" s="64"/>
      <c r="Y109" s="64"/>
      <c r="Z109" s="64"/>
      <c r="AA109" s="64"/>
      <c r="AB109" s="64"/>
      <c r="AC109" s="64"/>
      <c r="AD109" s="64"/>
      <c r="AE109" s="64"/>
      <c r="AF109" s="64"/>
      <c r="AG109" s="64"/>
      <c r="AH109" s="64"/>
    </row>
    <row r="110" spans="7:51" x14ac:dyDescent="0.2">
      <c r="G110" s="124"/>
      <c r="H110" s="124"/>
      <c r="I110" s="124"/>
      <c r="J110" s="124"/>
      <c r="K110" s="124"/>
      <c r="L110" s="124"/>
      <c r="M110" s="124"/>
      <c r="N110" s="64"/>
      <c r="O110" s="64"/>
      <c r="P110" s="64"/>
      <c r="Q110" s="64"/>
      <c r="R110" s="64"/>
      <c r="S110" s="64"/>
      <c r="T110" s="64"/>
      <c r="U110" s="64"/>
      <c r="V110" s="64"/>
      <c r="W110" s="64"/>
      <c r="X110" s="64"/>
      <c r="Y110" s="64"/>
      <c r="Z110" s="64"/>
      <c r="AA110" s="64"/>
      <c r="AB110" s="64"/>
      <c r="AC110" s="64"/>
      <c r="AD110" s="64"/>
      <c r="AE110" s="64"/>
      <c r="AF110" s="64"/>
      <c r="AG110" s="64"/>
      <c r="AH110" s="64"/>
    </row>
    <row r="111" spans="7:51" x14ac:dyDescent="0.2">
      <c r="G111" s="124"/>
      <c r="H111" s="124"/>
      <c r="I111" s="124"/>
      <c r="J111" s="124"/>
      <c r="K111" s="124"/>
      <c r="L111" s="124"/>
      <c r="M111" s="124"/>
      <c r="N111" s="64"/>
      <c r="O111" s="64"/>
      <c r="P111" s="64"/>
      <c r="Q111" s="64"/>
      <c r="R111" s="64"/>
      <c r="S111" s="64"/>
      <c r="T111" s="64"/>
      <c r="U111" s="64"/>
      <c r="V111" s="64"/>
      <c r="W111" s="64"/>
      <c r="X111" s="64"/>
      <c r="Y111" s="64"/>
      <c r="Z111" s="64"/>
      <c r="AA111" s="64"/>
      <c r="AB111" s="64"/>
      <c r="AC111" s="64"/>
      <c r="AD111" s="64"/>
      <c r="AE111" s="64"/>
      <c r="AF111" s="64"/>
      <c r="AG111" s="64"/>
      <c r="AH111" s="64"/>
    </row>
    <row r="112" spans="7:51" x14ac:dyDescent="0.2">
      <c r="G112" s="124"/>
      <c r="H112" s="124"/>
      <c r="I112" s="124"/>
      <c r="J112" s="124"/>
      <c r="K112" s="124"/>
      <c r="L112" s="124"/>
      <c r="M112" s="124"/>
      <c r="N112" s="64"/>
      <c r="O112" s="64"/>
      <c r="P112" s="64"/>
      <c r="Q112" s="64"/>
      <c r="R112" s="64"/>
      <c r="S112" s="64"/>
      <c r="T112" s="64"/>
      <c r="U112" s="64"/>
      <c r="V112" s="64"/>
      <c r="W112" s="64"/>
      <c r="X112" s="64"/>
      <c r="Y112" s="64"/>
      <c r="Z112" s="64"/>
      <c r="AA112" s="64"/>
      <c r="AB112" s="64"/>
      <c r="AC112" s="64"/>
      <c r="AD112" s="64"/>
      <c r="AE112" s="64"/>
      <c r="AF112" s="64"/>
      <c r="AG112" s="64"/>
      <c r="AH112" s="64"/>
    </row>
    <row r="113" spans="7:34" x14ac:dyDescent="0.2">
      <c r="G113" s="124"/>
      <c r="H113" s="124"/>
      <c r="I113" s="124"/>
      <c r="J113" s="124"/>
      <c r="K113" s="124"/>
      <c r="L113" s="124"/>
      <c r="M113" s="124"/>
      <c r="N113" s="64"/>
      <c r="O113" s="64"/>
      <c r="P113" s="64"/>
      <c r="Q113" s="64"/>
      <c r="R113" s="64"/>
      <c r="S113" s="64"/>
      <c r="T113" s="64"/>
      <c r="U113" s="64"/>
      <c r="V113" s="64"/>
      <c r="W113" s="64"/>
      <c r="X113" s="64"/>
      <c r="Y113" s="64"/>
      <c r="Z113" s="64"/>
      <c r="AA113" s="64"/>
      <c r="AB113" s="64"/>
      <c r="AC113" s="64"/>
      <c r="AD113" s="64"/>
      <c r="AE113" s="64"/>
      <c r="AF113" s="64"/>
      <c r="AG113" s="64"/>
      <c r="AH113" s="64"/>
    </row>
    <row r="114" spans="7:34" x14ac:dyDescent="0.2">
      <c r="G114" s="124"/>
      <c r="H114" s="124"/>
      <c r="I114" s="124"/>
      <c r="J114" s="124"/>
      <c r="K114" s="124"/>
      <c r="L114" s="124"/>
      <c r="M114" s="124"/>
      <c r="N114" s="64"/>
      <c r="O114" s="64"/>
      <c r="P114" s="64"/>
      <c r="Q114" s="64"/>
      <c r="R114" s="64"/>
      <c r="S114" s="64"/>
      <c r="T114" s="64"/>
      <c r="U114" s="64"/>
      <c r="V114" s="64"/>
      <c r="W114" s="64"/>
      <c r="X114" s="64"/>
      <c r="Y114" s="64"/>
      <c r="Z114" s="64"/>
      <c r="AA114" s="64"/>
      <c r="AB114" s="64"/>
      <c r="AC114" s="64"/>
      <c r="AD114" s="64"/>
      <c r="AE114" s="64"/>
      <c r="AF114" s="64"/>
      <c r="AG114" s="64"/>
      <c r="AH114" s="64"/>
    </row>
    <row r="115" spans="7:34" x14ac:dyDescent="0.2">
      <c r="G115" s="124"/>
      <c r="H115" s="124"/>
      <c r="I115" s="124"/>
      <c r="J115" s="124"/>
      <c r="K115" s="124"/>
      <c r="L115" s="124"/>
      <c r="M115" s="124"/>
      <c r="N115" s="64"/>
      <c r="O115" s="64"/>
      <c r="P115" s="64"/>
      <c r="Q115" s="64"/>
      <c r="R115" s="64"/>
      <c r="S115" s="64"/>
      <c r="T115" s="64"/>
      <c r="U115" s="64"/>
      <c r="V115" s="64"/>
      <c r="W115" s="64"/>
      <c r="X115" s="64"/>
      <c r="Y115" s="64"/>
      <c r="Z115" s="64"/>
      <c r="AA115" s="64"/>
      <c r="AB115" s="64"/>
      <c r="AC115" s="64"/>
      <c r="AD115" s="64"/>
      <c r="AE115" s="64"/>
      <c r="AF115" s="64"/>
      <c r="AG115" s="64"/>
      <c r="AH115" s="64"/>
    </row>
    <row r="116" spans="7:34" x14ac:dyDescent="0.2">
      <c r="G116" s="124"/>
      <c r="H116" s="124"/>
      <c r="I116" s="124"/>
      <c r="J116" s="124"/>
      <c r="K116" s="124"/>
      <c r="L116" s="124"/>
      <c r="M116" s="124"/>
      <c r="N116" s="64"/>
      <c r="O116" s="64"/>
      <c r="P116" s="64"/>
      <c r="Q116" s="64"/>
      <c r="R116" s="64"/>
      <c r="S116" s="64"/>
      <c r="T116" s="64"/>
      <c r="U116" s="64"/>
      <c r="V116" s="64"/>
      <c r="W116" s="64"/>
      <c r="X116" s="64"/>
      <c r="Y116" s="64"/>
      <c r="Z116" s="64"/>
      <c r="AA116" s="64"/>
      <c r="AB116" s="64"/>
      <c r="AC116" s="64"/>
      <c r="AD116" s="64"/>
      <c r="AE116" s="64"/>
      <c r="AF116" s="64"/>
      <c r="AG116" s="64"/>
      <c r="AH116" s="64"/>
    </row>
    <row r="117" spans="7:34" x14ac:dyDescent="0.2">
      <c r="G117" s="124"/>
      <c r="H117" s="124"/>
      <c r="I117" s="124"/>
      <c r="J117" s="124"/>
      <c r="K117" s="124"/>
      <c r="L117" s="124"/>
      <c r="M117" s="124"/>
      <c r="N117" s="64"/>
      <c r="O117" s="64"/>
      <c r="P117" s="64"/>
      <c r="Q117" s="64"/>
      <c r="R117" s="64"/>
      <c r="S117" s="64"/>
      <c r="T117" s="64"/>
      <c r="U117" s="64"/>
      <c r="V117" s="64"/>
      <c r="W117" s="64"/>
      <c r="X117" s="64"/>
      <c r="Y117" s="64"/>
      <c r="Z117" s="64"/>
      <c r="AA117" s="64"/>
      <c r="AB117" s="64"/>
      <c r="AC117" s="64"/>
      <c r="AD117" s="64"/>
      <c r="AE117" s="64"/>
      <c r="AF117" s="64"/>
      <c r="AG117" s="64"/>
      <c r="AH117" s="64"/>
    </row>
    <row r="118" spans="7:34" x14ac:dyDescent="0.2">
      <c r="G118" s="124"/>
      <c r="H118" s="124"/>
      <c r="I118" s="124"/>
      <c r="J118" s="124"/>
      <c r="K118" s="124"/>
      <c r="L118" s="124"/>
      <c r="M118" s="124"/>
      <c r="N118" s="64"/>
      <c r="O118" s="64"/>
      <c r="P118" s="64"/>
      <c r="Q118" s="64"/>
      <c r="R118" s="64"/>
      <c r="S118" s="64"/>
      <c r="T118" s="64"/>
      <c r="U118" s="64"/>
      <c r="V118" s="64"/>
      <c r="W118" s="64"/>
      <c r="X118" s="64"/>
      <c r="Y118" s="64"/>
      <c r="Z118" s="64"/>
      <c r="AA118" s="64"/>
      <c r="AB118" s="64"/>
      <c r="AC118" s="64"/>
      <c r="AD118" s="64"/>
      <c r="AE118" s="64"/>
      <c r="AF118" s="64"/>
      <c r="AG118" s="64"/>
      <c r="AH118" s="64"/>
    </row>
    <row r="119" spans="7:34" x14ac:dyDescent="0.2">
      <c r="G119" s="124"/>
      <c r="H119" s="124"/>
      <c r="I119" s="124"/>
      <c r="J119" s="124"/>
      <c r="K119" s="124"/>
      <c r="L119" s="124"/>
      <c r="M119" s="124"/>
      <c r="N119" s="64"/>
      <c r="O119" s="64"/>
      <c r="P119" s="64"/>
      <c r="Q119" s="64"/>
      <c r="R119" s="64"/>
      <c r="S119" s="64"/>
      <c r="T119" s="64"/>
      <c r="U119" s="64"/>
      <c r="V119" s="64"/>
      <c r="W119" s="64"/>
      <c r="X119" s="64"/>
      <c r="Y119" s="64"/>
      <c r="Z119" s="64"/>
      <c r="AA119" s="64"/>
      <c r="AB119" s="64"/>
      <c r="AC119" s="64"/>
      <c r="AD119" s="64"/>
      <c r="AE119" s="64"/>
      <c r="AF119" s="64"/>
      <c r="AG119" s="64"/>
      <c r="AH119" s="64"/>
    </row>
    <row r="120" spans="7:34" x14ac:dyDescent="0.2">
      <c r="G120" s="124"/>
      <c r="H120" s="124"/>
      <c r="I120" s="124"/>
      <c r="J120" s="124"/>
      <c r="K120" s="124"/>
      <c r="L120" s="124"/>
      <c r="M120" s="124"/>
      <c r="N120" s="64"/>
      <c r="O120" s="64"/>
      <c r="P120" s="64"/>
      <c r="Q120" s="64"/>
      <c r="R120" s="64"/>
      <c r="S120" s="64"/>
      <c r="T120" s="64"/>
      <c r="U120" s="64"/>
      <c r="V120" s="64"/>
      <c r="W120" s="64"/>
      <c r="X120" s="64"/>
      <c r="Y120" s="64"/>
      <c r="Z120" s="64"/>
      <c r="AA120" s="64"/>
      <c r="AB120" s="64"/>
      <c r="AC120" s="64"/>
      <c r="AD120" s="64"/>
      <c r="AE120" s="64"/>
      <c r="AF120" s="64"/>
      <c r="AG120" s="64"/>
      <c r="AH120" s="64"/>
    </row>
    <row r="121" spans="7:34" x14ac:dyDescent="0.2">
      <c r="G121" s="124"/>
      <c r="H121" s="124"/>
      <c r="I121" s="124"/>
      <c r="J121" s="124"/>
      <c r="K121" s="124"/>
      <c r="L121" s="124"/>
      <c r="M121" s="124"/>
      <c r="N121" s="64"/>
      <c r="O121" s="64"/>
      <c r="P121" s="64"/>
      <c r="Q121" s="64"/>
      <c r="R121" s="64"/>
      <c r="S121" s="64"/>
      <c r="T121" s="64"/>
      <c r="U121" s="64"/>
      <c r="V121" s="64"/>
      <c r="W121" s="64"/>
      <c r="X121" s="64"/>
      <c r="Y121" s="64"/>
      <c r="Z121" s="64"/>
      <c r="AA121" s="64"/>
      <c r="AB121" s="64"/>
      <c r="AC121" s="64"/>
      <c r="AD121" s="64"/>
      <c r="AE121" s="64"/>
      <c r="AF121" s="64"/>
      <c r="AG121" s="64"/>
      <c r="AH121" s="64"/>
    </row>
    <row r="122" spans="7:34" x14ac:dyDescent="0.2">
      <c r="G122" s="124"/>
      <c r="H122" s="124"/>
      <c r="I122" s="124"/>
      <c r="J122" s="124"/>
      <c r="K122" s="124"/>
      <c r="L122" s="124"/>
      <c r="M122" s="124"/>
      <c r="N122" s="64"/>
      <c r="O122" s="64"/>
      <c r="P122" s="64"/>
      <c r="Q122" s="64"/>
      <c r="R122" s="64"/>
      <c r="S122" s="64"/>
      <c r="T122" s="64"/>
      <c r="U122" s="64"/>
      <c r="V122" s="64"/>
      <c r="W122" s="64"/>
      <c r="X122" s="64"/>
      <c r="Y122" s="64"/>
      <c r="Z122" s="64"/>
      <c r="AA122" s="64"/>
      <c r="AB122" s="64"/>
      <c r="AC122" s="64"/>
      <c r="AD122" s="64"/>
      <c r="AE122" s="64"/>
      <c r="AF122" s="64"/>
      <c r="AG122" s="64"/>
      <c r="AH122" s="64"/>
    </row>
    <row r="123" spans="7:34" x14ac:dyDescent="0.2">
      <c r="G123" s="124"/>
      <c r="H123" s="124"/>
      <c r="I123" s="124"/>
      <c r="J123" s="124"/>
      <c r="K123" s="124"/>
      <c r="L123" s="124"/>
      <c r="M123" s="124"/>
      <c r="N123" s="64"/>
      <c r="O123" s="64"/>
      <c r="P123" s="64"/>
      <c r="Q123" s="64"/>
      <c r="R123" s="64"/>
      <c r="S123" s="64"/>
      <c r="T123" s="64"/>
      <c r="U123" s="64"/>
      <c r="V123" s="64"/>
      <c r="W123" s="64"/>
      <c r="X123" s="64"/>
      <c r="Y123" s="64"/>
      <c r="Z123" s="64"/>
      <c r="AA123" s="64"/>
      <c r="AB123" s="64"/>
      <c r="AC123" s="64"/>
      <c r="AD123" s="64"/>
      <c r="AE123" s="64"/>
      <c r="AF123" s="64"/>
      <c r="AG123" s="64"/>
      <c r="AH123" s="64"/>
    </row>
    <row r="124" spans="7:34" x14ac:dyDescent="0.2">
      <c r="G124" s="124"/>
      <c r="H124" s="124"/>
      <c r="I124" s="124"/>
      <c r="J124" s="124"/>
      <c r="K124" s="124"/>
      <c r="L124" s="124"/>
      <c r="M124" s="124"/>
      <c r="N124" s="64"/>
      <c r="O124" s="64"/>
      <c r="P124" s="64"/>
      <c r="Q124" s="64"/>
      <c r="R124" s="64"/>
      <c r="S124" s="64"/>
      <c r="T124" s="64"/>
      <c r="U124" s="64"/>
      <c r="V124" s="64"/>
      <c r="W124" s="64"/>
      <c r="X124" s="64"/>
      <c r="Y124" s="64"/>
      <c r="Z124" s="64"/>
      <c r="AA124" s="64"/>
      <c r="AB124" s="64"/>
      <c r="AC124" s="64"/>
      <c r="AD124" s="64"/>
      <c r="AE124" s="64"/>
      <c r="AF124" s="64"/>
      <c r="AG124" s="64"/>
      <c r="AH124" s="64"/>
    </row>
    <row r="125" spans="7:34" x14ac:dyDescent="0.2">
      <c r="G125" s="124"/>
      <c r="H125" s="124"/>
      <c r="I125" s="124"/>
      <c r="J125" s="124"/>
      <c r="K125" s="124"/>
      <c r="L125" s="124"/>
      <c r="M125" s="124"/>
      <c r="N125" s="64"/>
      <c r="O125" s="64"/>
      <c r="P125" s="64"/>
      <c r="Q125" s="64"/>
      <c r="R125" s="64"/>
      <c r="S125" s="64"/>
      <c r="T125" s="64"/>
      <c r="U125" s="64"/>
      <c r="V125" s="64"/>
      <c r="W125" s="64"/>
      <c r="X125" s="64"/>
      <c r="Y125" s="64"/>
      <c r="Z125" s="64"/>
      <c r="AA125" s="64"/>
      <c r="AB125" s="64"/>
      <c r="AC125" s="64"/>
      <c r="AD125" s="64"/>
      <c r="AE125" s="64"/>
      <c r="AF125" s="64"/>
      <c r="AG125" s="64"/>
      <c r="AH125" s="64"/>
    </row>
    <row r="126" spans="7:34" x14ac:dyDescent="0.2">
      <c r="G126" s="124"/>
      <c r="H126" s="124"/>
      <c r="I126" s="124"/>
      <c r="J126" s="124"/>
      <c r="K126" s="124"/>
      <c r="L126" s="124"/>
      <c r="M126" s="124"/>
      <c r="N126" s="64"/>
      <c r="O126" s="64"/>
      <c r="P126" s="64"/>
      <c r="Q126" s="64"/>
      <c r="R126" s="64"/>
      <c r="S126" s="64"/>
      <c r="T126" s="64"/>
      <c r="U126" s="64"/>
      <c r="V126" s="64"/>
      <c r="W126" s="64"/>
      <c r="X126" s="64"/>
      <c r="Y126" s="64"/>
      <c r="Z126" s="64"/>
      <c r="AA126" s="64"/>
      <c r="AB126" s="64"/>
      <c r="AC126" s="64"/>
      <c r="AD126" s="64"/>
      <c r="AE126" s="64"/>
      <c r="AF126" s="64"/>
      <c r="AG126" s="64"/>
      <c r="AH126" s="64"/>
    </row>
    <row r="127" spans="7:34" x14ac:dyDescent="0.2">
      <c r="G127" s="124"/>
      <c r="H127" s="124"/>
      <c r="I127" s="124"/>
      <c r="J127" s="124"/>
      <c r="K127" s="124"/>
      <c r="L127" s="124"/>
      <c r="M127" s="124"/>
      <c r="N127" s="64"/>
      <c r="O127" s="64"/>
      <c r="P127" s="64"/>
      <c r="Q127" s="64"/>
      <c r="R127" s="64"/>
      <c r="S127" s="64"/>
      <c r="T127" s="64"/>
      <c r="U127" s="64"/>
      <c r="V127" s="64"/>
      <c r="W127" s="64"/>
      <c r="X127" s="64"/>
      <c r="Y127" s="64"/>
      <c r="Z127" s="64"/>
      <c r="AA127" s="64"/>
      <c r="AB127" s="64"/>
      <c r="AC127" s="64"/>
      <c r="AD127" s="64"/>
      <c r="AE127" s="64"/>
      <c r="AF127" s="64"/>
      <c r="AG127" s="64"/>
      <c r="AH127" s="64"/>
    </row>
    <row r="128" spans="7:34" x14ac:dyDescent="0.2">
      <c r="G128" s="124"/>
      <c r="H128" s="124"/>
      <c r="I128" s="124"/>
      <c r="J128" s="124"/>
      <c r="K128" s="124"/>
      <c r="L128" s="124"/>
      <c r="M128" s="124"/>
      <c r="N128" s="64"/>
      <c r="O128" s="64"/>
      <c r="P128" s="64"/>
      <c r="Q128" s="64"/>
      <c r="R128" s="64"/>
      <c r="S128" s="64"/>
      <c r="T128" s="64"/>
      <c r="U128" s="64"/>
      <c r="V128" s="64"/>
      <c r="W128" s="64"/>
      <c r="X128" s="64"/>
      <c r="Y128" s="64"/>
      <c r="Z128" s="64"/>
      <c r="AA128" s="64"/>
      <c r="AB128" s="64"/>
      <c r="AC128" s="64"/>
      <c r="AD128" s="64"/>
      <c r="AE128" s="64"/>
      <c r="AF128" s="64"/>
      <c r="AG128" s="64"/>
      <c r="AH128" s="64"/>
    </row>
    <row r="129" spans="7:34" x14ac:dyDescent="0.2">
      <c r="G129" s="124"/>
      <c r="H129" s="124"/>
      <c r="I129" s="124"/>
      <c r="J129" s="124"/>
      <c r="K129" s="124"/>
      <c r="L129" s="124"/>
      <c r="M129" s="124"/>
      <c r="N129" s="64"/>
      <c r="O129" s="64"/>
      <c r="P129" s="64"/>
      <c r="Q129" s="64"/>
      <c r="R129" s="64"/>
      <c r="S129" s="64"/>
      <c r="T129" s="64"/>
      <c r="U129" s="64"/>
      <c r="V129" s="64"/>
      <c r="W129" s="64"/>
      <c r="X129" s="64"/>
      <c r="Y129" s="64"/>
      <c r="Z129" s="64"/>
      <c r="AA129" s="64"/>
      <c r="AB129" s="64"/>
      <c r="AC129" s="64"/>
      <c r="AD129" s="64"/>
      <c r="AE129" s="64"/>
      <c r="AF129" s="64"/>
      <c r="AG129" s="64"/>
      <c r="AH129" s="64"/>
    </row>
    <row r="130" spans="7:34" x14ac:dyDescent="0.2">
      <c r="G130" s="124"/>
      <c r="H130" s="124"/>
      <c r="I130" s="124"/>
      <c r="J130" s="124"/>
      <c r="K130" s="124"/>
      <c r="L130" s="124"/>
      <c r="M130" s="124"/>
      <c r="N130" s="64"/>
      <c r="O130" s="64"/>
      <c r="P130" s="64"/>
      <c r="Q130" s="64"/>
      <c r="R130" s="64"/>
      <c r="S130" s="64"/>
      <c r="T130" s="64"/>
      <c r="U130" s="64"/>
      <c r="V130" s="64"/>
      <c r="W130" s="64"/>
      <c r="X130" s="64"/>
      <c r="Y130" s="64"/>
      <c r="Z130" s="64"/>
      <c r="AA130" s="64"/>
      <c r="AB130" s="64"/>
      <c r="AC130" s="64"/>
      <c r="AD130" s="64"/>
      <c r="AE130" s="64"/>
      <c r="AF130" s="64"/>
      <c r="AG130" s="64"/>
      <c r="AH130" s="64"/>
    </row>
    <row r="131" spans="7:34" x14ac:dyDescent="0.2">
      <c r="G131" s="124"/>
      <c r="H131" s="124"/>
      <c r="I131" s="124"/>
      <c r="J131" s="124"/>
      <c r="K131" s="124"/>
      <c r="L131" s="124"/>
      <c r="M131" s="124"/>
      <c r="N131" s="64"/>
      <c r="O131" s="64"/>
      <c r="P131" s="64"/>
      <c r="Q131" s="64"/>
      <c r="R131" s="64"/>
      <c r="S131" s="64"/>
      <c r="T131" s="64"/>
      <c r="U131" s="64"/>
      <c r="V131" s="64"/>
      <c r="W131" s="64"/>
      <c r="X131" s="64"/>
      <c r="Y131" s="64"/>
      <c r="Z131" s="64"/>
      <c r="AA131" s="64"/>
      <c r="AB131" s="64"/>
      <c r="AC131" s="64"/>
      <c r="AD131" s="64"/>
      <c r="AE131" s="64"/>
      <c r="AF131" s="64"/>
      <c r="AG131" s="64"/>
      <c r="AH131" s="64"/>
    </row>
    <row r="132" spans="7:34" x14ac:dyDescent="0.2">
      <c r="G132" s="124"/>
      <c r="H132" s="124"/>
      <c r="I132" s="124"/>
      <c r="J132" s="124"/>
      <c r="K132" s="124"/>
      <c r="L132" s="124"/>
      <c r="M132" s="124"/>
      <c r="N132" s="64"/>
      <c r="O132" s="64"/>
      <c r="P132" s="64"/>
      <c r="Q132" s="64"/>
      <c r="R132" s="64"/>
      <c r="S132" s="64"/>
      <c r="T132" s="64"/>
      <c r="U132" s="64"/>
      <c r="V132" s="64"/>
      <c r="W132" s="64"/>
      <c r="X132" s="64"/>
      <c r="Y132" s="64"/>
      <c r="Z132" s="64"/>
      <c r="AA132" s="64"/>
      <c r="AB132" s="64"/>
      <c r="AC132" s="64"/>
      <c r="AD132" s="64"/>
      <c r="AE132" s="64"/>
      <c r="AF132" s="64"/>
      <c r="AG132" s="64"/>
      <c r="AH132" s="64"/>
    </row>
    <row r="133" spans="7:34" x14ac:dyDescent="0.2">
      <c r="G133" s="124"/>
      <c r="H133" s="124"/>
      <c r="I133" s="124"/>
      <c r="J133" s="124"/>
      <c r="K133" s="124"/>
      <c r="L133" s="124"/>
      <c r="M133" s="124"/>
      <c r="N133" s="64"/>
      <c r="O133" s="64"/>
      <c r="P133" s="64"/>
      <c r="Q133" s="64"/>
      <c r="R133" s="64"/>
      <c r="S133" s="64"/>
      <c r="T133" s="64"/>
      <c r="U133" s="64"/>
      <c r="V133" s="64"/>
      <c r="W133" s="64"/>
      <c r="X133" s="64"/>
      <c r="Y133" s="64"/>
      <c r="Z133" s="64"/>
      <c r="AA133" s="64"/>
      <c r="AB133" s="64"/>
      <c r="AC133" s="64"/>
      <c r="AD133" s="64"/>
      <c r="AE133" s="64"/>
      <c r="AF133" s="64"/>
      <c r="AG133" s="64"/>
      <c r="AH133" s="64"/>
    </row>
    <row r="134" spans="7:34" x14ac:dyDescent="0.2">
      <c r="G134" s="124"/>
      <c r="H134" s="124"/>
      <c r="I134" s="124"/>
      <c r="J134" s="124"/>
      <c r="K134" s="124"/>
      <c r="L134" s="124"/>
      <c r="M134" s="124"/>
      <c r="N134" s="64"/>
      <c r="O134" s="64"/>
      <c r="P134" s="64"/>
      <c r="Q134" s="64"/>
      <c r="R134" s="64"/>
      <c r="S134" s="64"/>
      <c r="T134" s="64"/>
      <c r="U134" s="64"/>
      <c r="V134" s="64"/>
      <c r="W134" s="64"/>
      <c r="X134" s="64"/>
      <c r="Y134" s="64"/>
      <c r="Z134" s="64"/>
      <c r="AA134" s="64"/>
      <c r="AB134" s="64"/>
      <c r="AC134" s="64"/>
      <c r="AD134" s="64"/>
      <c r="AE134" s="64"/>
      <c r="AF134" s="64"/>
      <c r="AG134" s="64"/>
      <c r="AH134" s="64"/>
    </row>
    <row r="135" spans="7:34" x14ac:dyDescent="0.2">
      <c r="G135" s="124"/>
      <c r="H135" s="124"/>
      <c r="I135" s="124"/>
      <c r="J135" s="124"/>
      <c r="K135" s="124"/>
      <c r="L135" s="124"/>
      <c r="M135" s="124"/>
      <c r="N135" s="64"/>
      <c r="O135" s="64"/>
      <c r="P135" s="64"/>
      <c r="Q135" s="64"/>
      <c r="R135" s="64"/>
      <c r="S135" s="64"/>
      <c r="T135" s="64"/>
      <c r="U135" s="64"/>
      <c r="V135" s="64"/>
      <c r="W135" s="64"/>
      <c r="X135" s="64"/>
      <c r="Y135" s="64"/>
      <c r="Z135" s="64"/>
      <c r="AA135" s="64"/>
      <c r="AB135" s="64"/>
      <c r="AC135" s="64"/>
      <c r="AD135" s="64"/>
      <c r="AE135" s="64"/>
      <c r="AF135" s="64"/>
      <c r="AG135" s="64"/>
      <c r="AH135" s="64"/>
    </row>
  </sheetData>
  <sheetProtection algorithmName="SHA-512" hashValue="yQjmUaT1AtY1M9UdNfdUsvjNIxLI1dFeJSGGrRHZF9HuR9pfHz7l29nJgO6BnrtVmubEGvDIxM1ENKZOGDWKbA==" saltValue="1tv7t7xK/C0gPaNe4mO2cQ==" spinCount="100000" sheet="1" objects="1" scenarios="1"/>
  <customSheetViews>
    <customSheetView guid="{2DEE39A3-88C5-4D7F-AEB9-0B43FD431165}" scale="90" showGridLines="0" showRowCol="0" fitToPage="1" hiddenRows="1" hiddenColumns="1" state="hidden">
      <selection activeCell="H24" sqref="H24"/>
      <pageMargins left="0.31496062992125984" right="0.31496062992125984" top="0.78740157480314965" bottom="0.78740157480314965" header="0.31496062992125984" footer="0.31496062992125984"/>
      <pageSetup paperSize="9" scale="53" orientation="landscape" r:id="rId1"/>
    </customSheetView>
    <customSheetView guid="{117F828A-4542-4D18-9CDB-B606529AAD66}" scale="90" showRowCol="0" fitToPage="1" hiddenRows="1" hiddenColumns="1">
      <selection activeCell="F15" sqref="F15"/>
      <pageMargins left="0.31496062992125984" right="0.31496062992125984" top="0.78740157480314965" bottom="0.78740157480314965" header="0.31496062992125984" footer="0.31496062992125984"/>
      <pageSetup paperSize="9" scale="53" orientation="landscape" r:id="rId2"/>
    </customSheetView>
  </customSheetViews>
  <mergeCells count="1">
    <mergeCell ref="R24:T24"/>
  </mergeCells>
  <conditionalFormatting sqref="F10:F14">
    <cfRule type="containsText" dxfId="7" priority="3" operator="containsText" text="G">
      <formula>NOT(ISERROR(SEARCH("G",F10)))</formula>
    </cfRule>
  </conditionalFormatting>
  <conditionalFormatting sqref="F18:F20">
    <cfRule type="containsText" dxfId="6" priority="2" operator="containsText" text="G">
      <formula>NOT(ISERROR(SEARCH("G",F18)))</formula>
    </cfRule>
  </conditionalFormatting>
  <conditionalFormatting sqref="J10:J20">
    <cfRule type="cellIs" dxfId="5" priority="16" stopIfTrue="1" operator="equal">
      <formula>0</formula>
    </cfRule>
  </conditionalFormatting>
  <conditionalFormatting sqref="K11:K13">
    <cfRule type="cellIs" dxfId="4" priority="1" stopIfTrue="1" operator="equal">
      <formula>0</formula>
    </cfRule>
  </conditionalFormatting>
  <conditionalFormatting sqref="K15:Q15">
    <cfRule type="cellIs" dxfId="3" priority="24" stopIfTrue="1" operator="equal">
      <formula>0</formula>
    </cfRule>
  </conditionalFormatting>
  <conditionalFormatting sqref="U29">
    <cfRule type="containsText" dxfId="2" priority="4" operator="containsText" text="!">
      <formula>NOT(ISERROR(SEARCH("!",U29)))</formula>
    </cfRule>
  </conditionalFormatting>
  <conditionalFormatting sqref="V28:AF28">
    <cfRule type="cellIs" dxfId="1" priority="10" operator="greaterThan">
      <formula>V27</formula>
    </cfRule>
    <cfRule type="cellIs" dxfId="0" priority="11" operator="lessThan">
      <formula>V27</formula>
    </cfRule>
  </conditionalFormatting>
  <pageMargins left="0.31496062992125984" right="0.31496062992125984" top="0.78740157480314965" bottom="0.78740157480314965" header="0.31496062992125984" footer="0.31496062992125984"/>
  <pageSetup paperSize="9" scale="52"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18433" r:id="rId6" name="Group Box 1">
              <controlPr defaultSize="0" autoFill="0" autoPict="0">
                <anchor moveWithCells="1">
                  <from>
                    <xdr:col>6</xdr:col>
                    <xdr:colOff>19050</xdr:colOff>
                    <xdr:row>2</xdr:row>
                    <xdr:rowOff>0</xdr:rowOff>
                  </from>
                  <to>
                    <xdr:col>9</xdr:col>
                    <xdr:colOff>9525</xdr:colOff>
                    <xdr:row>5</xdr:row>
                    <xdr:rowOff>0</xdr:rowOff>
                  </to>
                </anchor>
              </controlPr>
            </control>
          </mc:Choice>
        </mc:AlternateContent>
        <mc:AlternateContent xmlns:mc="http://schemas.openxmlformats.org/markup-compatibility/2006">
          <mc:Choice Requires="x14">
            <control shapeId="18434" r:id="rId7" name="Option Button 2">
              <controlPr locked="0" defaultSize="0" autoFill="0" autoLine="0" autoPict="0">
                <anchor moveWithCells="1">
                  <from>
                    <xdr:col>6</xdr:col>
                    <xdr:colOff>400050</xdr:colOff>
                    <xdr:row>2</xdr:row>
                    <xdr:rowOff>38100</xdr:rowOff>
                  </from>
                  <to>
                    <xdr:col>7</xdr:col>
                    <xdr:colOff>200025</xdr:colOff>
                    <xdr:row>3</xdr:row>
                    <xdr:rowOff>19050</xdr:rowOff>
                  </to>
                </anchor>
              </controlPr>
            </control>
          </mc:Choice>
        </mc:AlternateContent>
        <mc:AlternateContent xmlns:mc="http://schemas.openxmlformats.org/markup-compatibility/2006">
          <mc:Choice Requires="x14">
            <control shapeId="18435" r:id="rId8" name="Option Button 3">
              <controlPr defaultSize="0" autoFill="0" autoLine="0" autoPict="0">
                <anchor moveWithCells="1">
                  <from>
                    <xdr:col>6</xdr:col>
                    <xdr:colOff>400050</xdr:colOff>
                    <xdr:row>3</xdr:row>
                    <xdr:rowOff>180975</xdr:rowOff>
                  </from>
                  <to>
                    <xdr:col>7</xdr:col>
                    <xdr:colOff>142875</xdr:colOff>
                    <xdr:row>4</xdr:row>
                    <xdr:rowOff>171450</xdr:rowOff>
                  </to>
                </anchor>
              </controlPr>
            </control>
          </mc:Choice>
        </mc:AlternateContent>
        <mc:AlternateContent xmlns:mc="http://schemas.openxmlformats.org/markup-compatibility/2006">
          <mc:Choice Requires="x14">
            <control shapeId="18436" r:id="rId9" name="Group Box 4">
              <controlPr defaultSize="0" autoFill="0" autoPict="0">
                <anchor moveWithCells="1">
                  <from>
                    <xdr:col>1</xdr:col>
                    <xdr:colOff>0</xdr:colOff>
                    <xdr:row>2</xdr:row>
                    <xdr:rowOff>0</xdr:rowOff>
                  </from>
                  <to>
                    <xdr:col>5</xdr:col>
                    <xdr:colOff>9525</xdr:colOff>
                    <xdr:row>5</xdr:row>
                    <xdr:rowOff>0</xdr:rowOff>
                  </to>
                </anchor>
              </controlPr>
            </control>
          </mc:Choice>
        </mc:AlternateContent>
        <mc:AlternateContent xmlns:mc="http://schemas.openxmlformats.org/markup-compatibility/2006">
          <mc:Choice Requires="x14">
            <control shapeId="18437" r:id="rId10" name="Option Button 5">
              <controlPr defaultSize="0" autoFill="0" autoLine="0" autoPict="0">
                <anchor moveWithCells="1">
                  <from>
                    <xdr:col>1</xdr:col>
                    <xdr:colOff>85725</xdr:colOff>
                    <xdr:row>3</xdr:row>
                    <xdr:rowOff>19050</xdr:rowOff>
                  </from>
                  <to>
                    <xdr:col>3</xdr:col>
                    <xdr:colOff>19050</xdr:colOff>
                    <xdr:row>4</xdr:row>
                    <xdr:rowOff>9525</xdr:rowOff>
                  </to>
                </anchor>
              </controlPr>
            </control>
          </mc:Choice>
        </mc:AlternateContent>
        <mc:AlternateContent xmlns:mc="http://schemas.openxmlformats.org/markup-compatibility/2006">
          <mc:Choice Requires="x14">
            <control shapeId="18438" r:id="rId11" name="Option Button 6">
              <controlPr defaultSize="0" autoFill="0" autoLine="0" autoPict="0">
                <anchor moveWithCells="1">
                  <from>
                    <xdr:col>1</xdr:col>
                    <xdr:colOff>85725</xdr:colOff>
                    <xdr:row>3</xdr:row>
                    <xdr:rowOff>219075</xdr:rowOff>
                  </from>
                  <to>
                    <xdr:col>3</xdr:col>
                    <xdr:colOff>19050</xdr:colOff>
                    <xdr:row>4</xdr:row>
                    <xdr:rowOff>219075</xdr:rowOff>
                  </to>
                </anchor>
              </controlPr>
            </control>
          </mc:Choice>
        </mc:AlternateContent>
        <mc:AlternateContent xmlns:mc="http://schemas.openxmlformats.org/markup-compatibility/2006">
          <mc:Choice Requires="x14">
            <control shapeId="18439" r:id="rId12" name="Group Box 7">
              <controlPr defaultSize="0" autoFill="0" autoPict="0">
                <anchor moveWithCells="1">
                  <from>
                    <xdr:col>10</xdr:col>
                    <xdr:colOff>9525</xdr:colOff>
                    <xdr:row>1</xdr:row>
                    <xdr:rowOff>152400</xdr:rowOff>
                  </from>
                  <to>
                    <xdr:col>13</xdr:col>
                    <xdr:colOff>590550</xdr:colOff>
                    <xdr:row>5</xdr:row>
                    <xdr:rowOff>19050</xdr:rowOff>
                  </to>
                </anchor>
              </controlPr>
            </control>
          </mc:Choice>
        </mc:AlternateContent>
        <mc:AlternateContent xmlns:mc="http://schemas.openxmlformats.org/markup-compatibility/2006">
          <mc:Choice Requires="x14">
            <control shapeId="18440" r:id="rId13" name="Option Button 8">
              <controlPr defaultSize="0" autoFill="0" autoLine="0" autoPict="0">
                <anchor moveWithCells="1">
                  <from>
                    <xdr:col>10</xdr:col>
                    <xdr:colOff>123825</xdr:colOff>
                    <xdr:row>2</xdr:row>
                    <xdr:rowOff>19050</xdr:rowOff>
                  </from>
                  <to>
                    <xdr:col>10</xdr:col>
                    <xdr:colOff>523875</xdr:colOff>
                    <xdr:row>3</xdr:row>
                    <xdr:rowOff>0</xdr:rowOff>
                  </to>
                </anchor>
              </controlPr>
            </control>
          </mc:Choice>
        </mc:AlternateContent>
        <mc:AlternateContent xmlns:mc="http://schemas.openxmlformats.org/markup-compatibility/2006">
          <mc:Choice Requires="x14">
            <control shapeId="18441" r:id="rId14" name="Option Button 9">
              <controlPr defaultSize="0" autoFill="0" autoLine="0" autoPict="0">
                <anchor moveWithCells="1">
                  <from>
                    <xdr:col>10</xdr:col>
                    <xdr:colOff>123825</xdr:colOff>
                    <xdr:row>3</xdr:row>
                    <xdr:rowOff>9525</xdr:rowOff>
                  </from>
                  <to>
                    <xdr:col>10</xdr:col>
                    <xdr:colOff>523875</xdr:colOff>
                    <xdr:row>3</xdr:row>
                    <xdr:rowOff>228600</xdr:rowOff>
                  </to>
                </anchor>
              </controlPr>
            </control>
          </mc:Choice>
        </mc:AlternateContent>
        <mc:AlternateContent xmlns:mc="http://schemas.openxmlformats.org/markup-compatibility/2006">
          <mc:Choice Requires="x14">
            <control shapeId="18459" r:id="rId15" name="Drop Down 27">
              <controlPr locked="0" defaultSize="0" print="0" autoFill="0" autoLine="0" autoPict="0">
                <anchor moveWithCells="1">
                  <from>
                    <xdr:col>2</xdr:col>
                    <xdr:colOff>0</xdr:colOff>
                    <xdr:row>19</xdr:row>
                    <xdr:rowOff>28575</xdr:rowOff>
                  </from>
                  <to>
                    <xdr:col>5</xdr:col>
                    <xdr:colOff>790575</xdr:colOff>
                    <xdr:row>20</xdr:row>
                    <xdr:rowOff>0</xdr:rowOff>
                  </to>
                </anchor>
              </controlPr>
            </control>
          </mc:Choice>
        </mc:AlternateContent>
        <mc:AlternateContent xmlns:mc="http://schemas.openxmlformats.org/markup-compatibility/2006">
          <mc:Choice Requires="x14">
            <control shapeId="18460" r:id="rId16" name="Drop Down 28">
              <controlPr locked="0" defaultSize="0" print="0" autoFill="0" autoLine="0" autoPict="0">
                <anchor moveWithCells="1">
                  <from>
                    <xdr:col>2</xdr:col>
                    <xdr:colOff>0</xdr:colOff>
                    <xdr:row>18</xdr:row>
                    <xdr:rowOff>28575</xdr:rowOff>
                  </from>
                  <to>
                    <xdr:col>5</xdr:col>
                    <xdr:colOff>800100</xdr:colOff>
                    <xdr:row>19</xdr:row>
                    <xdr:rowOff>19050</xdr:rowOff>
                  </to>
                </anchor>
              </controlPr>
            </control>
          </mc:Choice>
        </mc:AlternateContent>
        <mc:AlternateContent xmlns:mc="http://schemas.openxmlformats.org/markup-compatibility/2006">
          <mc:Choice Requires="x14">
            <control shapeId="18461" r:id="rId17" name="Drop Down 29">
              <controlPr locked="0" defaultSize="0" print="0" autoFill="0" autoLine="0" autoPict="0">
                <anchor moveWithCells="1">
                  <from>
                    <xdr:col>2</xdr:col>
                    <xdr:colOff>0</xdr:colOff>
                    <xdr:row>17</xdr:row>
                    <xdr:rowOff>0</xdr:rowOff>
                  </from>
                  <to>
                    <xdr:col>5</xdr:col>
                    <xdr:colOff>800100</xdr:colOff>
                    <xdr:row>18</xdr:row>
                    <xdr:rowOff>28575</xdr:rowOff>
                  </to>
                </anchor>
              </controlPr>
            </control>
          </mc:Choice>
        </mc:AlternateContent>
        <mc:AlternateContent xmlns:mc="http://schemas.openxmlformats.org/markup-compatibility/2006">
          <mc:Choice Requires="x14">
            <control shapeId="18462" r:id="rId18" name="Spinner 30">
              <controlPr defaultSize="0" print="0" autoPict="0">
                <anchor moveWithCells="1" sizeWithCells="1">
                  <from>
                    <xdr:col>20</xdr:col>
                    <xdr:colOff>409575</xdr:colOff>
                    <xdr:row>4</xdr:row>
                    <xdr:rowOff>19050</xdr:rowOff>
                  </from>
                  <to>
                    <xdr:col>21</xdr:col>
                    <xdr:colOff>0</xdr:colOff>
                    <xdr:row>5</xdr:row>
                    <xdr:rowOff>9525</xdr:rowOff>
                  </to>
                </anchor>
              </controlPr>
            </control>
          </mc:Choice>
        </mc:AlternateContent>
        <mc:AlternateContent xmlns:mc="http://schemas.openxmlformats.org/markup-compatibility/2006">
          <mc:Choice Requires="x14">
            <control shapeId="18463" r:id="rId19" name="Option Button 31">
              <controlPr defaultSize="0" autoFill="0" autoLine="0" autoPict="0">
                <anchor moveWithCells="1">
                  <from>
                    <xdr:col>10</xdr:col>
                    <xdr:colOff>123825</xdr:colOff>
                    <xdr:row>4</xdr:row>
                    <xdr:rowOff>19050</xdr:rowOff>
                  </from>
                  <to>
                    <xdr:col>10</xdr:col>
                    <xdr:colOff>523875</xdr:colOff>
                    <xdr:row>5</xdr:row>
                    <xdr:rowOff>0</xdr:rowOff>
                  </to>
                </anchor>
              </controlPr>
            </control>
          </mc:Choice>
        </mc:AlternateContent>
        <mc:AlternateContent xmlns:mc="http://schemas.openxmlformats.org/markup-compatibility/2006">
          <mc:Choice Requires="x14">
            <control shapeId="18464" r:id="rId20" name="Spinner 32">
              <controlPr defaultSize="0" print="0" autoPict="0">
                <anchor moveWithCells="1" sizeWithCells="1">
                  <from>
                    <xdr:col>20</xdr:col>
                    <xdr:colOff>409575</xdr:colOff>
                    <xdr:row>3</xdr:row>
                    <xdr:rowOff>0</xdr:rowOff>
                  </from>
                  <to>
                    <xdr:col>21</xdr:col>
                    <xdr:colOff>9525</xdr:colOff>
                    <xdr:row>4</xdr:row>
                    <xdr:rowOff>19050</xdr:rowOff>
                  </to>
                </anchor>
              </controlPr>
            </control>
          </mc:Choice>
        </mc:AlternateContent>
        <mc:AlternateContent xmlns:mc="http://schemas.openxmlformats.org/markup-compatibility/2006">
          <mc:Choice Requires="x14">
            <control shapeId="18450" r:id="rId21" name="Drop Down 18">
              <controlPr locked="0" defaultSize="0" print="0" autoFill="0" autoLine="0" autoPict="0">
                <anchor moveWithCells="1">
                  <from>
                    <xdr:col>2</xdr:col>
                    <xdr:colOff>0</xdr:colOff>
                    <xdr:row>13</xdr:row>
                    <xdr:rowOff>0</xdr:rowOff>
                  </from>
                  <to>
                    <xdr:col>5</xdr:col>
                    <xdr:colOff>762000</xdr:colOff>
                    <xdr:row>13</xdr:row>
                    <xdr:rowOff>257175</xdr:rowOff>
                  </to>
                </anchor>
              </controlPr>
            </control>
          </mc:Choice>
        </mc:AlternateContent>
        <mc:AlternateContent xmlns:mc="http://schemas.openxmlformats.org/markup-compatibility/2006">
          <mc:Choice Requires="x14">
            <control shapeId="18451" r:id="rId22" name="Drop Down 19">
              <controlPr locked="0" defaultSize="0" print="0" autoFill="0" autoLine="0" autoPict="0">
                <anchor moveWithCells="1">
                  <from>
                    <xdr:col>2</xdr:col>
                    <xdr:colOff>9525</xdr:colOff>
                    <xdr:row>12</xdr:row>
                    <xdr:rowOff>0</xdr:rowOff>
                  </from>
                  <to>
                    <xdr:col>5</xdr:col>
                    <xdr:colOff>762000</xdr:colOff>
                    <xdr:row>12</xdr:row>
                    <xdr:rowOff>257175</xdr:rowOff>
                  </to>
                </anchor>
              </controlPr>
            </control>
          </mc:Choice>
        </mc:AlternateContent>
        <mc:AlternateContent xmlns:mc="http://schemas.openxmlformats.org/markup-compatibility/2006">
          <mc:Choice Requires="x14">
            <control shapeId="18446" r:id="rId23" name="Drop Down 14">
              <controlPr locked="0" defaultSize="0" print="0" autoFill="0" autoLine="0" autoPict="0">
                <anchor moveWithCells="1">
                  <from>
                    <xdr:col>2</xdr:col>
                    <xdr:colOff>0</xdr:colOff>
                    <xdr:row>8</xdr:row>
                    <xdr:rowOff>228600</xdr:rowOff>
                  </from>
                  <to>
                    <xdr:col>5</xdr:col>
                    <xdr:colOff>762000</xdr:colOff>
                    <xdr:row>10</xdr:row>
                    <xdr:rowOff>9525</xdr:rowOff>
                  </to>
                </anchor>
              </controlPr>
            </control>
          </mc:Choice>
        </mc:AlternateContent>
        <mc:AlternateContent xmlns:mc="http://schemas.openxmlformats.org/markup-compatibility/2006">
          <mc:Choice Requires="x14">
            <control shapeId="18447" r:id="rId24" name="Drop Down 15">
              <controlPr locked="0" defaultSize="0" print="0" autoFill="0" autoLine="0" autoPict="0">
                <anchor moveWithCells="1">
                  <from>
                    <xdr:col>2</xdr:col>
                    <xdr:colOff>9525</xdr:colOff>
                    <xdr:row>10</xdr:row>
                    <xdr:rowOff>9525</xdr:rowOff>
                  </from>
                  <to>
                    <xdr:col>5</xdr:col>
                    <xdr:colOff>762000</xdr:colOff>
                    <xdr:row>11</xdr:row>
                    <xdr:rowOff>9525</xdr:rowOff>
                  </to>
                </anchor>
              </controlPr>
            </control>
          </mc:Choice>
        </mc:AlternateContent>
        <mc:AlternateContent xmlns:mc="http://schemas.openxmlformats.org/markup-compatibility/2006">
          <mc:Choice Requires="x14">
            <control shapeId="18448" r:id="rId25" name="Drop Down 16">
              <controlPr locked="0" defaultSize="0" print="0" autoFill="0" autoLine="0" autoPict="0">
                <anchor moveWithCells="1">
                  <from>
                    <xdr:col>2</xdr:col>
                    <xdr:colOff>0</xdr:colOff>
                    <xdr:row>11</xdr:row>
                    <xdr:rowOff>19050</xdr:rowOff>
                  </from>
                  <to>
                    <xdr:col>5</xdr:col>
                    <xdr:colOff>762000</xdr:colOff>
                    <xdr:row>11</xdr:row>
                    <xdr:rowOff>257175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tabColor rgb="FFD9D9D9"/>
    <pageSetUpPr fitToPage="1"/>
  </sheetPr>
  <dimension ref="A1:H123"/>
  <sheetViews>
    <sheetView showGridLines="0" showRowColHeaders="0" workbookViewId="0">
      <selection activeCell="B35" sqref="B35"/>
    </sheetView>
  </sheetViews>
  <sheetFormatPr baseColWidth="10" defaultColWidth="11.42578125" defaultRowHeight="12.75" x14ac:dyDescent="0.2"/>
  <cols>
    <col min="1" max="1" width="3.5703125" style="223" customWidth="1"/>
    <col min="2" max="2" width="52.5703125" style="219" customWidth="1"/>
    <col min="3" max="16384" width="11.42578125" style="219"/>
  </cols>
  <sheetData>
    <row r="1" spans="1:2" x14ac:dyDescent="0.2">
      <c r="A1" s="223" t="s">
        <v>253</v>
      </c>
    </row>
    <row r="3" spans="1:2" x14ac:dyDescent="0.2">
      <c r="A3" s="223" t="s">
        <v>254</v>
      </c>
    </row>
    <row r="4" spans="1:2" x14ac:dyDescent="0.2">
      <c r="B4" s="218" t="s">
        <v>263</v>
      </c>
    </row>
    <row r="5" spans="1:2" x14ac:dyDescent="0.2">
      <c r="B5" s="218" t="s">
        <v>258</v>
      </c>
    </row>
    <row r="6" spans="1:2" x14ac:dyDescent="0.2">
      <c r="B6" s="218" t="s">
        <v>255</v>
      </c>
    </row>
    <row r="7" spans="1:2" x14ac:dyDescent="0.2">
      <c r="B7" s="218" t="s">
        <v>257</v>
      </c>
    </row>
    <row r="8" spans="1:2" x14ac:dyDescent="0.2">
      <c r="B8" s="218" t="s">
        <v>256</v>
      </c>
    </row>
    <row r="11" spans="1:2" x14ac:dyDescent="0.2">
      <c r="A11" s="223" t="s">
        <v>259</v>
      </c>
    </row>
    <row r="12" spans="1:2" x14ac:dyDescent="0.2">
      <c r="B12" s="218" t="s">
        <v>260</v>
      </c>
    </row>
    <row r="13" spans="1:2" x14ac:dyDescent="0.2">
      <c r="B13" s="218" t="s">
        <v>261</v>
      </c>
    </row>
    <row r="14" spans="1:2" x14ac:dyDescent="0.2">
      <c r="B14" s="218" t="s">
        <v>262</v>
      </c>
    </row>
    <row r="15" spans="1:2" x14ac:dyDescent="0.2">
      <c r="B15" s="218" t="s">
        <v>275</v>
      </c>
    </row>
    <row r="16" spans="1:2" x14ac:dyDescent="0.2">
      <c r="B16" s="218"/>
    </row>
    <row r="17" spans="1:5" x14ac:dyDescent="0.2">
      <c r="B17" s="218"/>
    </row>
    <row r="19" spans="1:5" x14ac:dyDescent="0.2">
      <c r="A19" s="223" t="s">
        <v>264</v>
      </c>
    </row>
    <row r="20" spans="1:5" x14ac:dyDescent="0.2">
      <c r="B20" s="218" t="s">
        <v>283</v>
      </c>
    </row>
    <row r="21" spans="1:5" x14ac:dyDescent="0.2">
      <c r="B21" s="218" t="s">
        <v>266</v>
      </c>
      <c r="C21" s="238" t="s">
        <v>282</v>
      </c>
    </row>
    <row r="22" spans="1:5" x14ac:dyDescent="0.2">
      <c r="B22" s="218" t="s">
        <v>265</v>
      </c>
    </row>
    <row r="23" spans="1:5" x14ac:dyDescent="0.2">
      <c r="B23" s="218" t="s">
        <v>267</v>
      </c>
      <c r="C23" s="218" t="s">
        <v>269</v>
      </c>
    </row>
    <row r="24" spans="1:5" x14ac:dyDescent="0.2">
      <c r="B24" s="218"/>
      <c r="C24" s="218" t="s">
        <v>281</v>
      </c>
    </row>
    <row r="25" spans="1:5" x14ac:dyDescent="0.2">
      <c r="B25" s="218"/>
    </row>
    <row r="26" spans="1:5" x14ac:dyDescent="0.2">
      <c r="B26" s="218" t="s">
        <v>268</v>
      </c>
      <c r="C26" s="218" t="s">
        <v>270</v>
      </c>
    </row>
    <row r="27" spans="1:5" x14ac:dyDescent="0.2">
      <c r="B27" s="218"/>
    </row>
    <row r="28" spans="1:5" x14ac:dyDescent="0.2">
      <c r="B28" s="218" t="s">
        <v>276</v>
      </c>
      <c r="C28" s="218" t="s">
        <v>277</v>
      </c>
    </row>
    <row r="29" spans="1:5" ht="14.25" x14ac:dyDescent="0.2">
      <c r="B29" s="234"/>
      <c r="C29" s="234"/>
      <c r="D29" s="234"/>
      <c r="E29" s="234"/>
    </row>
    <row r="30" spans="1:5" ht="14.25" x14ac:dyDescent="0.2">
      <c r="B30" s="218" t="s">
        <v>278</v>
      </c>
      <c r="C30" s="218" t="s">
        <v>277</v>
      </c>
      <c r="D30" s="234"/>
    </row>
    <row r="31" spans="1:5" ht="14.25" x14ac:dyDescent="0.2">
      <c r="B31" s="218"/>
      <c r="C31" s="218"/>
      <c r="D31" s="234"/>
    </row>
    <row r="32" spans="1:5" ht="14.25" x14ac:dyDescent="0.2">
      <c r="B32" s="218"/>
      <c r="C32" s="218"/>
      <c r="D32" s="234"/>
    </row>
    <row r="33" spans="1:8" ht="14.25" x14ac:dyDescent="0.2">
      <c r="B33" s="218"/>
      <c r="C33" s="218"/>
      <c r="D33" s="234"/>
    </row>
    <row r="34" spans="1:8" ht="14.25" x14ac:dyDescent="0.2">
      <c r="B34" s="218"/>
      <c r="C34" s="218"/>
      <c r="D34" s="234"/>
    </row>
    <row r="35" spans="1:8" ht="14.25" x14ac:dyDescent="0.2">
      <c r="B35" s="218"/>
      <c r="C35" s="218"/>
      <c r="D35" s="234"/>
    </row>
    <row r="36" spans="1:8" ht="14.25" x14ac:dyDescent="0.2">
      <c r="B36" s="218"/>
      <c r="C36" s="218"/>
      <c r="D36" s="234"/>
    </row>
    <row r="37" spans="1:8" ht="14.25" x14ac:dyDescent="0.2">
      <c r="B37" s="234"/>
    </row>
    <row r="39" spans="1:8" x14ac:dyDescent="0.2">
      <c r="A39" s="223" t="s">
        <v>280</v>
      </c>
    </row>
    <row r="40" spans="1:8" ht="14.25" x14ac:dyDescent="0.2">
      <c r="B40" s="234"/>
    </row>
    <row r="41" spans="1:8" ht="14.25" x14ac:dyDescent="0.2">
      <c r="B41" s="234" t="s">
        <v>284</v>
      </c>
    </row>
    <row r="42" spans="1:8" ht="14.25" x14ac:dyDescent="0.2">
      <c r="B42" s="234" t="s">
        <v>308</v>
      </c>
    </row>
    <row r="43" spans="1:8" x14ac:dyDescent="0.2">
      <c r="B43" s="235" t="s">
        <v>249</v>
      </c>
      <c r="C43" s="102"/>
      <c r="D43" s="102"/>
      <c r="E43" s="102"/>
      <c r="F43" s="102"/>
      <c r="G43" s="102"/>
      <c r="H43" s="102"/>
    </row>
    <row r="44" spans="1:8" x14ac:dyDescent="0.2">
      <c r="B44" s="99" t="s">
        <v>294</v>
      </c>
      <c r="C44" s="102"/>
      <c r="D44" s="102"/>
      <c r="E44" s="102"/>
      <c r="F44" s="102"/>
      <c r="G44" s="102"/>
      <c r="H44" s="102"/>
    </row>
    <row r="45" spans="1:8" ht="14.25" x14ac:dyDescent="0.2">
      <c r="B45" s="102" t="s">
        <v>250</v>
      </c>
      <c r="C45" s="236" t="s">
        <v>67</v>
      </c>
      <c r="D45" s="102">
        <v>11.873799999999999</v>
      </c>
      <c r="E45" s="102"/>
      <c r="F45" s="102" t="s">
        <v>293</v>
      </c>
      <c r="G45" s="102"/>
      <c r="H45" s="102"/>
    </row>
    <row r="46" spans="1:8" ht="14.25" x14ac:dyDescent="0.2">
      <c r="B46" s="102"/>
      <c r="C46" s="236" t="s">
        <v>248</v>
      </c>
      <c r="D46" s="102">
        <v>2.32E-3</v>
      </c>
      <c r="E46" s="102"/>
      <c r="F46" s="102"/>
      <c r="G46" s="102"/>
      <c r="H46" s="102"/>
    </row>
    <row r="47" spans="1:8" ht="14.25" x14ac:dyDescent="0.2">
      <c r="B47" s="102" t="s">
        <v>251</v>
      </c>
      <c r="C47" s="236" t="s">
        <v>67</v>
      </c>
      <c r="D47" s="102">
        <v>21.155999999999999</v>
      </c>
      <c r="E47" s="102"/>
      <c r="F47" s="102" t="s">
        <v>293</v>
      </c>
      <c r="G47" s="102"/>
      <c r="H47" s="102"/>
    </row>
    <row r="48" spans="1:8" ht="14.25" x14ac:dyDescent="0.2">
      <c r="B48" s="102"/>
      <c r="C48" s="236" t="s">
        <v>248</v>
      </c>
      <c r="D48" s="102">
        <v>6.4999999999999997E-4</v>
      </c>
      <c r="E48" s="102"/>
      <c r="F48" s="102"/>
      <c r="G48" s="102"/>
      <c r="H48" s="102"/>
    </row>
    <row r="49" spans="2:8" x14ac:dyDescent="0.2">
      <c r="B49" s="102" t="s">
        <v>252</v>
      </c>
      <c r="C49" s="102" t="s">
        <v>67</v>
      </c>
      <c r="D49" s="102">
        <v>12.088200000000001</v>
      </c>
      <c r="E49" s="102"/>
      <c r="F49" s="102" t="s">
        <v>293</v>
      </c>
      <c r="G49" s="102"/>
      <c r="H49" s="102"/>
    </row>
    <row r="50" spans="2:8" x14ac:dyDescent="0.2">
      <c r="B50" s="102"/>
      <c r="C50" s="102" t="s">
        <v>248</v>
      </c>
      <c r="D50" s="102">
        <v>2.48E-3</v>
      </c>
      <c r="E50" s="102"/>
      <c r="F50" s="102"/>
      <c r="G50" s="102"/>
      <c r="H50" s="102"/>
    </row>
    <row r="51" spans="2:8" x14ac:dyDescent="0.2">
      <c r="B51" s="102"/>
      <c r="C51" s="102"/>
      <c r="D51" s="102"/>
      <c r="E51" s="102"/>
      <c r="F51" s="102"/>
      <c r="G51" s="102"/>
      <c r="H51" s="102"/>
    </row>
    <row r="52" spans="2:8" x14ac:dyDescent="0.2">
      <c r="B52" s="235" t="s">
        <v>13</v>
      </c>
      <c r="C52" s="102"/>
      <c r="D52" s="102"/>
      <c r="E52" s="102"/>
      <c r="F52" s="102"/>
      <c r="G52" s="102"/>
      <c r="H52" s="102"/>
    </row>
    <row r="53" spans="2:8" x14ac:dyDescent="0.2">
      <c r="B53" s="102" t="s">
        <v>250</v>
      </c>
      <c r="C53" s="102" t="s">
        <v>290</v>
      </c>
      <c r="D53" s="102" t="s">
        <v>305</v>
      </c>
      <c r="E53" s="102"/>
      <c r="F53" s="102"/>
      <c r="G53" s="102"/>
      <c r="H53" s="102"/>
    </row>
    <row r="54" spans="2:8" ht="14.25" x14ac:dyDescent="0.2">
      <c r="B54" s="102"/>
      <c r="C54" s="236" t="s">
        <v>67</v>
      </c>
      <c r="D54" s="102">
        <v>369</v>
      </c>
      <c r="E54" s="102"/>
      <c r="F54" s="102" t="s">
        <v>291</v>
      </c>
      <c r="G54" s="102" t="s">
        <v>285</v>
      </c>
      <c r="H54" s="102"/>
    </row>
    <row r="55" spans="2:8" ht="14.25" x14ac:dyDescent="0.2">
      <c r="B55" s="102"/>
      <c r="C55" s="236" t="s">
        <v>248</v>
      </c>
      <c r="D55" s="102">
        <v>0.249</v>
      </c>
      <c r="E55" s="102"/>
      <c r="F55" s="102"/>
      <c r="G55" s="102"/>
      <c r="H55" s="102"/>
    </row>
    <row r="56" spans="2:8" ht="14.25" x14ac:dyDescent="0.2">
      <c r="B56" s="102"/>
      <c r="C56" s="236" t="s">
        <v>286</v>
      </c>
      <c r="D56" s="102">
        <v>-4.0000000000000002E-4</v>
      </c>
      <c r="E56" s="102"/>
      <c r="F56" s="102"/>
      <c r="G56" s="102"/>
      <c r="H56" s="102"/>
    </row>
    <row r="57" spans="2:8" x14ac:dyDescent="0.2">
      <c r="B57" s="102" t="s">
        <v>251</v>
      </c>
      <c r="C57" s="99" t="s">
        <v>292</v>
      </c>
      <c r="D57" s="102" t="s">
        <v>306</v>
      </c>
      <c r="E57" s="102"/>
      <c r="F57" s="102"/>
      <c r="G57" s="102"/>
      <c r="H57" s="102"/>
    </row>
    <row r="58" spans="2:8" ht="14.25" x14ac:dyDescent="0.2">
      <c r="B58" s="102"/>
      <c r="C58" s="236" t="s">
        <v>67</v>
      </c>
      <c r="D58" s="102">
        <v>193.39699999999999</v>
      </c>
      <c r="E58" s="102"/>
      <c r="F58" s="102" t="s">
        <v>291</v>
      </c>
      <c r="G58" s="102" t="s">
        <v>285</v>
      </c>
      <c r="H58" s="102"/>
    </row>
    <row r="59" spans="2:8" ht="14.25" x14ac:dyDescent="0.2">
      <c r="B59" s="102"/>
      <c r="C59" s="236" t="s">
        <v>248</v>
      </c>
      <c r="D59" s="102">
        <v>0.14349999999999999</v>
      </c>
      <c r="E59" s="102"/>
      <c r="F59" s="102"/>
      <c r="G59" s="102"/>
      <c r="H59" s="102"/>
    </row>
    <row r="60" spans="2:8" ht="14.25" x14ac:dyDescent="0.2">
      <c r="B60" s="102"/>
      <c r="C60" s="236" t="s">
        <v>286</v>
      </c>
      <c r="D60" s="102"/>
      <c r="E60" s="102"/>
      <c r="F60" s="102"/>
      <c r="G60" s="102"/>
      <c r="H60" s="102"/>
    </row>
    <row r="61" spans="2:8" x14ac:dyDescent="0.2">
      <c r="B61" s="102" t="s">
        <v>252</v>
      </c>
      <c r="C61" s="102" t="s">
        <v>290</v>
      </c>
      <c r="D61" s="102" t="s">
        <v>304</v>
      </c>
      <c r="E61" s="102"/>
      <c r="F61" s="102"/>
      <c r="G61" s="102"/>
      <c r="H61" s="102"/>
    </row>
    <row r="62" spans="2:8" x14ac:dyDescent="0.2">
      <c r="B62" s="99"/>
      <c r="C62" s="102" t="s">
        <v>67</v>
      </c>
      <c r="D62" s="102">
        <v>263.89999999999998</v>
      </c>
      <c r="E62" s="102"/>
      <c r="F62" s="102" t="s">
        <v>291</v>
      </c>
      <c r="G62" s="102" t="s">
        <v>285</v>
      </c>
      <c r="H62" s="102"/>
    </row>
    <row r="63" spans="2:8" x14ac:dyDescent="0.2">
      <c r="B63" s="99"/>
      <c r="C63" s="102" t="s">
        <v>248</v>
      </c>
      <c r="D63" s="102">
        <v>0.49199999999999999</v>
      </c>
      <c r="E63" s="102"/>
      <c r="F63" s="102"/>
      <c r="G63" s="102"/>
      <c r="H63" s="102"/>
    </row>
    <row r="64" spans="2:8" x14ac:dyDescent="0.2">
      <c r="B64" s="99"/>
      <c r="C64" s="99" t="s">
        <v>286</v>
      </c>
      <c r="D64" s="102">
        <v>-1.0300000000000001E-3</v>
      </c>
      <c r="E64" s="102"/>
      <c r="F64" s="102"/>
      <c r="G64" s="102"/>
      <c r="H64" s="102"/>
    </row>
    <row r="65" spans="2:8" x14ac:dyDescent="0.2">
      <c r="B65" s="99"/>
      <c r="C65" s="99"/>
      <c r="D65" s="102"/>
      <c r="E65" s="102"/>
      <c r="F65" s="102"/>
      <c r="G65" s="102"/>
      <c r="H65" s="102"/>
    </row>
    <row r="66" spans="2:8" x14ac:dyDescent="0.2">
      <c r="B66" s="235" t="s">
        <v>303</v>
      </c>
      <c r="C66" s="102"/>
      <c r="D66" s="102"/>
      <c r="E66" s="102"/>
      <c r="F66" s="102"/>
      <c r="G66" s="102"/>
      <c r="H66" s="102"/>
    </row>
    <row r="67" spans="2:8" x14ac:dyDescent="0.2">
      <c r="B67" s="99" t="s">
        <v>302</v>
      </c>
      <c r="C67" s="102"/>
      <c r="D67" s="102"/>
      <c r="E67" s="102"/>
      <c r="F67" s="102"/>
      <c r="G67" s="102"/>
      <c r="H67" s="102"/>
    </row>
    <row r="68" spans="2:8" ht="14.25" x14ac:dyDescent="0.2">
      <c r="B68" s="102" t="s">
        <v>33</v>
      </c>
      <c r="C68" s="236" t="s">
        <v>67</v>
      </c>
      <c r="D68" s="102">
        <v>2.12E-2</v>
      </c>
      <c r="E68" s="102"/>
      <c r="F68" s="102" t="s">
        <v>297</v>
      </c>
      <c r="G68" s="102"/>
      <c r="H68" s="102"/>
    </row>
    <row r="69" spans="2:8" ht="14.25" x14ac:dyDescent="0.2">
      <c r="B69" s="102"/>
      <c r="C69" s="236" t="s">
        <v>248</v>
      </c>
      <c r="D69" s="102">
        <v>5.8</v>
      </c>
      <c r="E69" s="102"/>
      <c r="F69" s="102"/>
      <c r="G69" s="102"/>
      <c r="H69" s="102"/>
    </row>
    <row r="70" spans="2:8" ht="14.25" x14ac:dyDescent="0.2">
      <c r="B70" s="102" t="s">
        <v>34</v>
      </c>
      <c r="C70" s="236" t="s">
        <v>67</v>
      </c>
      <c r="D70" s="102">
        <v>9.4999999999999998E-3</v>
      </c>
      <c r="E70" s="102"/>
      <c r="F70" s="102" t="s">
        <v>293</v>
      </c>
      <c r="G70" s="102"/>
      <c r="H70" s="102"/>
    </row>
    <row r="71" spans="2:8" ht="14.25" x14ac:dyDescent="0.2">
      <c r="B71" s="102"/>
      <c r="C71" s="236" t="s">
        <v>248</v>
      </c>
      <c r="D71" s="102">
        <v>1.3</v>
      </c>
      <c r="E71" s="102"/>
      <c r="F71" s="102"/>
      <c r="G71" s="102"/>
      <c r="H71" s="102"/>
    </row>
    <row r="72" spans="2:8" x14ac:dyDescent="0.2">
      <c r="B72" s="102" t="s">
        <v>36</v>
      </c>
      <c r="C72" s="102" t="s">
        <v>67</v>
      </c>
      <c r="D72" s="102">
        <v>2.3999999999999998E-3</v>
      </c>
      <c r="E72" s="102"/>
      <c r="F72" s="102" t="s">
        <v>293</v>
      </c>
      <c r="G72" s="102"/>
      <c r="H72" s="102"/>
    </row>
    <row r="73" spans="2:8" x14ac:dyDescent="0.2">
      <c r="B73" s="102"/>
      <c r="C73" s="102" t="s">
        <v>248</v>
      </c>
      <c r="D73" s="102">
        <v>0.1</v>
      </c>
      <c r="E73" s="102"/>
      <c r="F73" s="102"/>
      <c r="G73" s="102"/>
      <c r="H73" s="102"/>
    </row>
    <row r="74" spans="2:8" x14ac:dyDescent="0.2">
      <c r="B74" s="99"/>
      <c r="C74" s="99"/>
      <c r="D74" s="99"/>
      <c r="E74" s="99"/>
      <c r="F74" s="99"/>
      <c r="G74" s="99"/>
      <c r="H74" s="99"/>
    </row>
    <row r="75" spans="2:8" x14ac:dyDescent="0.2">
      <c r="B75" s="99"/>
      <c r="C75" s="99"/>
      <c r="D75" s="99"/>
      <c r="E75" s="99"/>
      <c r="F75" s="99"/>
      <c r="G75" s="99"/>
      <c r="H75" s="99"/>
    </row>
    <row r="76" spans="2:8" x14ac:dyDescent="0.2">
      <c r="B76" s="102" t="s">
        <v>35</v>
      </c>
      <c r="C76" s="102" t="s">
        <v>67</v>
      </c>
      <c r="D76" s="102">
        <v>1.6999999999999999E-3</v>
      </c>
      <c r="E76" s="102"/>
      <c r="F76" s="102" t="s">
        <v>293</v>
      </c>
      <c r="G76" s="102"/>
      <c r="H76" s="99"/>
    </row>
    <row r="77" spans="2:8" x14ac:dyDescent="0.2">
      <c r="B77" s="102"/>
      <c r="C77" s="102" t="s">
        <v>248</v>
      </c>
      <c r="D77" s="102">
        <v>0</v>
      </c>
      <c r="E77" s="102"/>
      <c r="F77" s="102"/>
      <c r="G77" s="102"/>
      <c r="H77" s="99"/>
    </row>
    <row r="78" spans="2:8" x14ac:dyDescent="0.2">
      <c r="B78" s="99"/>
      <c r="C78" s="99"/>
      <c r="D78" s="99"/>
      <c r="E78" s="99"/>
      <c r="F78" s="99"/>
      <c r="G78" s="99"/>
      <c r="H78" s="99"/>
    </row>
    <row r="79" spans="2:8" x14ac:dyDescent="0.2">
      <c r="B79" s="237"/>
    </row>
    <row r="80" spans="2:8" ht="14.25" x14ac:dyDescent="0.2">
      <c r="B80" s="234"/>
    </row>
    <row r="81" spans="2:2" ht="14.25" x14ac:dyDescent="0.2">
      <c r="B81" s="234"/>
    </row>
    <row r="82" spans="2:2" x14ac:dyDescent="0.2">
      <c r="B82" s="237"/>
    </row>
    <row r="83" spans="2:2" ht="14.25" x14ac:dyDescent="0.2">
      <c r="B83" s="234"/>
    </row>
    <row r="84" spans="2:2" ht="14.25" x14ac:dyDescent="0.2">
      <c r="B84" s="234"/>
    </row>
    <row r="85" spans="2:2" ht="14.25" x14ac:dyDescent="0.2">
      <c r="B85" s="234"/>
    </row>
    <row r="86" spans="2:2" x14ac:dyDescent="0.2">
      <c r="B86" s="237"/>
    </row>
    <row r="87" spans="2:2" ht="14.25" x14ac:dyDescent="0.2">
      <c r="B87" s="234"/>
    </row>
    <row r="88" spans="2:2" ht="14.25" x14ac:dyDescent="0.2">
      <c r="B88" s="234"/>
    </row>
    <row r="89" spans="2:2" x14ac:dyDescent="0.2">
      <c r="B89" s="237"/>
    </row>
    <row r="90" spans="2:2" ht="14.25" x14ac:dyDescent="0.2">
      <c r="B90" s="234"/>
    </row>
    <row r="91" spans="2:2" ht="14.25" x14ac:dyDescent="0.2">
      <c r="B91" s="234"/>
    </row>
    <row r="92" spans="2:2" x14ac:dyDescent="0.2">
      <c r="B92" s="237"/>
    </row>
    <row r="93" spans="2:2" ht="14.25" x14ac:dyDescent="0.2">
      <c r="B93" s="234"/>
    </row>
    <row r="94" spans="2:2" ht="14.25" x14ac:dyDescent="0.2">
      <c r="B94" s="234"/>
    </row>
    <row r="95" spans="2:2" x14ac:dyDescent="0.2">
      <c r="B95" s="237"/>
    </row>
    <row r="96" spans="2:2" ht="14.25" x14ac:dyDescent="0.2">
      <c r="B96" s="234"/>
    </row>
    <row r="97" spans="2:2" ht="14.25" x14ac:dyDescent="0.2">
      <c r="B97" s="234"/>
    </row>
    <row r="98" spans="2:2" x14ac:dyDescent="0.2">
      <c r="B98" s="237"/>
    </row>
    <row r="99" spans="2:2" ht="14.25" x14ac:dyDescent="0.2">
      <c r="B99" s="234"/>
    </row>
    <row r="100" spans="2:2" ht="14.25" x14ac:dyDescent="0.2">
      <c r="B100" s="234"/>
    </row>
    <row r="101" spans="2:2" ht="14.25" x14ac:dyDescent="0.2">
      <c r="B101" s="234"/>
    </row>
    <row r="102" spans="2:2" ht="14.25" x14ac:dyDescent="0.2">
      <c r="B102" s="234"/>
    </row>
    <row r="103" spans="2:2" ht="14.25" x14ac:dyDescent="0.2">
      <c r="B103" s="234"/>
    </row>
    <row r="104" spans="2:2" ht="14.25" x14ac:dyDescent="0.2">
      <c r="B104" s="234"/>
    </row>
    <row r="105" spans="2:2" ht="14.25" x14ac:dyDescent="0.2">
      <c r="B105" s="234"/>
    </row>
    <row r="106" spans="2:2" ht="14.25" x14ac:dyDescent="0.2">
      <c r="B106" s="234"/>
    </row>
    <row r="107" spans="2:2" ht="14.25" x14ac:dyDescent="0.2">
      <c r="B107" s="234"/>
    </row>
    <row r="108" spans="2:2" ht="14.25" x14ac:dyDescent="0.2">
      <c r="B108" s="234"/>
    </row>
    <row r="109" spans="2:2" ht="14.25" x14ac:dyDescent="0.2">
      <c r="B109" s="234"/>
    </row>
    <row r="110" spans="2:2" ht="14.25" x14ac:dyDescent="0.2">
      <c r="B110" s="234"/>
    </row>
    <row r="111" spans="2:2" ht="14.25" x14ac:dyDescent="0.2">
      <c r="B111" s="234"/>
    </row>
    <row r="112" spans="2:2" ht="14.25" x14ac:dyDescent="0.2">
      <c r="B112" s="234"/>
    </row>
    <row r="113" spans="2:2" x14ac:dyDescent="0.2">
      <c r="B113" s="237"/>
    </row>
    <row r="114" spans="2:2" ht="14.25" x14ac:dyDescent="0.2">
      <c r="B114" s="234"/>
    </row>
    <row r="115" spans="2:2" x14ac:dyDescent="0.2">
      <c r="B115" s="237"/>
    </row>
    <row r="116" spans="2:2" ht="14.25" x14ac:dyDescent="0.2">
      <c r="B116" s="234"/>
    </row>
    <row r="117" spans="2:2" x14ac:dyDescent="0.2">
      <c r="B117" s="237"/>
    </row>
    <row r="118" spans="2:2" ht="14.25" x14ac:dyDescent="0.2">
      <c r="B118" s="234"/>
    </row>
    <row r="119" spans="2:2" x14ac:dyDescent="0.2">
      <c r="B119" s="237"/>
    </row>
    <row r="120" spans="2:2" ht="14.25" x14ac:dyDescent="0.2">
      <c r="B120" s="234"/>
    </row>
    <row r="121" spans="2:2" x14ac:dyDescent="0.2">
      <c r="B121" s="237"/>
    </row>
    <row r="122" spans="2:2" ht="14.25" x14ac:dyDescent="0.2">
      <c r="B122" s="234"/>
    </row>
    <row r="123" spans="2:2" x14ac:dyDescent="0.2">
      <c r="B123" s="237"/>
    </row>
  </sheetData>
  <sortState xmlns:xlrd2="http://schemas.microsoft.com/office/spreadsheetml/2017/richdata2" ref="B4:B8">
    <sortCondition ref="B4"/>
  </sortState>
  <customSheetViews>
    <customSheetView guid="{2DEE39A3-88C5-4D7F-AEB9-0B43FD431165}" showGridLines="0" showRowCol="0" fitToPage="1">
      <selection activeCell="B35" sqref="B35"/>
      <pageMargins left="0.25" right="0.25" top="0.75" bottom="0.75" header="0.3" footer="0.3"/>
      <pageSetup paperSize="9" scale="47" orientation="landscape" verticalDpi="0" r:id="rId1"/>
    </customSheetView>
    <customSheetView guid="{117F828A-4542-4D18-9CDB-B606529AAD66}" showGridLines="0" showRowCol="0" fitToPage="1">
      <selection activeCell="D33" sqref="D33"/>
      <pageMargins left="0.25" right="0.25" top="0.75" bottom="0.75" header="0.3" footer="0.3"/>
      <pageSetup paperSize="9" scale="47" orientation="landscape" verticalDpi="0" r:id="rId2"/>
    </customSheetView>
  </customSheetViews>
  <pageMargins left="0.25" right="0.25" top="0.75" bottom="0.75" header="0.3" footer="0.3"/>
  <pageSetup paperSize="9" scale="47" orientation="landscape" verticalDpi="0"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tabColor rgb="FFD9D9D9"/>
  </sheetPr>
  <dimension ref="A1:F30"/>
  <sheetViews>
    <sheetView workbookViewId="0">
      <selection activeCell="E1" sqref="E1"/>
    </sheetView>
  </sheetViews>
  <sheetFormatPr baseColWidth="10" defaultColWidth="11.42578125" defaultRowHeight="12.75" x14ac:dyDescent="0.2"/>
  <cols>
    <col min="1" max="1" width="13.85546875" style="219" bestFit="1" customWidth="1"/>
    <col min="2" max="2" width="36.42578125" style="219" bestFit="1" customWidth="1"/>
    <col min="3" max="4" width="7.85546875" style="219" customWidth="1"/>
    <col min="5" max="6" width="7.85546875" style="220" customWidth="1"/>
    <col min="7" max="16384" width="11.42578125" style="219"/>
  </cols>
  <sheetData>
    <row r="1" spans="1:6" ht="15.75" x14ac:dyDescent="0.25">
      <c r="A1" s="224" t="s">
        <v>323</v>
      </c>
      <c r="C1" s="1488" t="s">
        <v>513</v>
      </c>
      <c r="D1" s="1489"/>
      <c r="E1" s="1420" t="s">
        <v>514</v>
      </c>
    </row>
    <row r="2" spans="1:6" x14ac:dyDescent="0.2">
      <c r="C2" s="220"/>
      <c r="D2" s="220"/>
      <c r="E2" s="225" t="s">
        <v>324</v>
      </c>
      <c r="F2" s="225" t="s">
        <v>325</v>
      </c>
    </row>
    <row r="3" spans="1:6" ht="21" customHeight="1" x14ac:dyDescent="0.2">
      <c r="A3" s="218" t="s">
        <v>237</v>
      </c>
      <c r="B3" s="218" t="s">
        <v>326</v>
      </c>
      <c r="C3" s="221"/>
      <c r="D3" s="221"/>
      <c r="E3" s="230">
        <v>0.9</v>
      </c>
      <c r="F3" s="230">
        <v>1.1000000000000001</v>
      </c>
    </row>
    <row r="4" spans="1:6" ht="21" customHeight="1" x14ac:dyDescent="0.2">
      <c r="A4" s="218" t="s">
        <v>12</v>
      </c>
      <c r="C4" s="220"/>
      <c r="D4" s="220"/>
      <c r="E4" s="230">
        <v>0.95</v>
      </c>
      <c r="F4" s="230">
        <v>1.05</v>
      </c>
    </row>
    <row r="5" spans="1:6" ht="21" customHeight="1" x14ac:dyDescent="0.2">
      <c r="A5" s="218" t="s">
        <v>64</v>
      </c>
      <c r="C5" s="220"/>
      <c r="D5" s="220"/>
      <c r="E5" s="230">
        <v>0.95</v>
      </c>
      <c r="F5" s="230">
        <v>1.05</v>
      </c>
    </row>
    <row r="6" spans="1:6" ht="21" customHeight="1" x14ac:dyDescent="0.2">
      <c r="A6" s="218" t="s">
        <v>13</v>
      </c>
      <c r="B6" s="218"/>
      <c r="C6" s="220"/>
      <c r="D6" s="220"/>
      <c r="E6" s="230">
        <v>0.9</v>
      </c>
      <c r="F6" s="230">
        <v>1.1000000000000001</v>
      </c>
    </row>
    <row r="7" spans="1:6" ht="21" customHeight="1" x14ac:dyDescent="0.2">
      <c r="A7" s="218" t="s">
        <v>65</v>
      </c>
      <c r="B7" s="218"/>
      <c r="C7" s="220"/>
      <c r="D7" s="220"/>
      <c r="E7" s="230">
        <v>0.9</v>
      </c>
      <c r="F7" s="230">
        <v>1.1000000000000001</v>
      </c>
    </row>
    <row r="8" spans="1:6" ht="21" customHeight="1" x14ac:dyDescent="0.2">
      <c r="A8" s="218" t="s">
        <v>14</v>
      </c>
      <c r="B8" s="218" t="s">
        <v>327</v>
      </c>
      <c r="C8" s="221"/>
      <c r="D8" s="221"/>
      <c r="E8" s="231">
        <v>-1</v>
      </c>
      <c r="F8" s="231">
        <v>0</v>
      </c>
    </row>
    <row r="9" spans="1:6" ht="21" customHeight="1" x14ac:dyDescent="0.2">
      <c r="A9" s="218" t="s">
        <v>397</v>
      </c>
      <c r="B9" s="218" t="s">
        <v>327</v>
      </c>
      <c r="C9" s="221"/>
      <c r="D9" s="221"/>
      <c r="E9" s="280">
        <v>-0.5</v>
      </c>
      <c r="F9" s="280">
        <v>0</v>
      </c>
    </row>
    <row r="10" spans="1:6" ht="21" customHeight="1" x14ac:dyDescent="0.2">
      <c r="A10" s="218" t="s">
        <v>178</v>
      </c>
      <c r="B10" s="218" t="s">
        <v>327</v>
      </c>
      <c r="C10" s="221"/>
      <c r="D10" s="221"/>
      <c r="E10" s="231"/>
      <c r="F10" s="232">
        <v>390</v>
      </c>
    </row>
    <row r="11" spans="1:6" ht="21" customHeight="1" x14ac:dyDescent="0.2">
      <c r="A11" s="218" t="s">
        <v>516</v>
      </c>
      <c r="B11" s="218"/>
      <c r="C11" s="221"/>
      <c r="D11" s="221"/>
      <c r="E11" s="231">
        <v>50</v>
      </c>
      <c r="F11" s="231"/>
    </row>
    <row r="12" spans="1:6" ht="21" hidden="1" customHeight="1" x14ac:dyDescent="0.2">
      <c r="A12" s="218" t="s">
        <v>18</v>
      </c>
      <c r="B12" s="218" t="s">
        <v>327</v>
      </c>
      <c r="C12" s="221"/>
      <c r="D12" s="221"/>
      <c r="E12" s="231">
        <v>200</v>
      </c>
      <c r="F12" s="231"/>
    </row>
    <row r="13" spans="1:6" ht="21" customHeight="1" x14ac:dyDescent="0.2">
      <c r="A13" s="218" t="s">
        <v>530</v>
      </c>
      <c r="B13" s="218" t="s">
        <v>327</v>
      </c>
      <c r="C13" s="221"/>
      <c r="D13" s="221"/>
      <c r="E13" s="231">
        <v>325</v>
      </c>
      <c r="F13" s="231"/>
    </row>
    <row r="14" spans="1:6" ht="21" customHeight="1" x14ac:dyDescent="0.2">
      <c r="A14" s="218" t="s">
        <v>532</v>
      </c>
      <c r="B14" s="218" t="s">
        <v>327</v>
      </c>
      <c r="C14" s="221"/>
      <c r="D14" s="221"/>
      <c r="E14" s="231">
        <f>IF('Ration Milch'!AD41&lt;0.95*250,200,280)</f>
        <v>280</v>
      </c>
      <c r="F14" s="231"/>
    </row>
    <row r="15" spans="1:6" ht="21" customHeight="1" x14ac:dyDescent="0.2">
      <c r="A15" s="218" t="s">
        <v>16</v>
      </c>
      <c r="B15" s="218" t="s">
        <v>327</v>
      </c>
      <c r="C15" s="221"/>
      <c r="D15" s="221"/>
      <c r="E15" s="231"/>
      <c r="F15" s="231">
        <v>200</v>
      </c>
    </row>
    <row r="16" spans="1:6" ht="21" customHeight="1" x14ac:dyDescent="0.2">
      <c r="A16" s="218" t="s">
        <v>15</v>
      </c>
      <c r="B16" s="218" t="s">
        <v>327</v>
      </c>
      <c r="C16" s="221"/>
      <c r="D16" s="221"/>
      <c r="E16" s="231"/>
      <c r="F16" s="231">
        <v>60</v>
      </c>
    </row>
    <row r="17" spans="1:6" ht="21" customHeight="1" x14ac:dyDescent="0.2">
      <c r="A17" s="218" t="s">
        <v>140</v>
      </c>
      <c r="B17" s="218" t="s">
        <v>327</v>
      </c>
      <c r="C17" s="221"/>
      <c r="D17" s="221"/>
      <c r="E17" s="231"/>
      <c r="F17" s="231">
        <v>40</v>
      </c>
    </row>
    <row r="18" spans="1:6" ht="26.25" customHeight="1" x14ac:dyDescent="0.2">
      <c r="A18" s="218" t="s">
        <v>556</v>
      </c>
      <c r="B18" s="218" t="s">
        <v>327</v>
      </c>
      <c r="C18" s="221"/>
      <c r="D18" s="221"/>
      <c r="E18" s="231"/>
      <c r="F18" s="231">
        <v>250</v>
      </c>
    </row>
    <row r="19" spans="1:6" ht="25.15" customHeight="1" x14ac:dyDescent="0.2">
      <c r="A19" s="218"/>
      <c r="B19" s="218"/>
      <c r="C19" s="226" t="s">
        <v>360</v>
      </c>
      <c r="D19" s="226" t="s">
        <v>22</v>
      </c>
      <c r="E19" s="228"/>
      <c r="F19" s="229"/>
    </row>
    <row r="20" spans="1:6" ht="21" customHeight="1" x14ac:dyDescent="0.2">
      <c r="A20" s="218" t="s">
        <v>33</v>
      </c>
      <c r="B20" s="218" t="s">
        <v>334</v>
      </c>
      <c r="C20" s="233">
        <v>2</v>
      </c>
      <c r="D20" s="233">
        <v>2.5</v>
      </c>
      <c r="E20" s="230">
        <v>0.98</v>
      </c>
      <c r="F20" s="230">
        <v>1.5</v>
      </c>
    </row>
    <row r="21" spans="1:6" ht="21" customHeight="1" x14ac:dyDescent="0.2">
      <c r="A21" s="218" t="s">
        <v>34</v>
      </c>
      <c r="B21" s="218" t="s">
        <v>333</v>
      </c>
      <c r="C21" s="233">
        <v>1.4</v>
      </c>
      <c r="D21" s="233">
        <v>1.4</v>
      </c>
      <c r="E21" s="230">
        <v>1</v>
      </c>
      <c r="F21" s="230">
        <v>1.5</v>
      </c>
    </row>
    <row r="22" spans="1:6" ht="21" customHeight="1" x14ac:dyDescent="0.2">
      <c r="A22" s="218" t="s">
        <v>35</v>
      </c>
      <c r="B22" s="218" t="s">
        <v>333</v>
      </c>
      <c r="C22" s="233">
        <v>0.7</v>
      </c>
      <c r="D22" s="233">
        <v>0.5</v>
      </c>
      <c r="E22" s="230">
        <v>1</v>
      </c>
      <c r="F22" s="230">
        <v>1.5</v>
      </c>
    </row>
    <row r="23" spans="1:6" ht="21" customHeight="1" x14ac:dyDescent="0.2">
      <c r="A23" s="218" t="s">
        <v>36</v>
      </c>
      <c r="B23" s="218" t="s">
        <v>333</v>
      </c>
      <c r="C23" s="233">
        <v>0.8</v>
      </c>
      <c r="D23" s="233">
        <v>0.4</v>
      </c>
      <c r="E23" s="230">
        <v>1</v>
      </c>
      <c r="F23" s="230">
        <v>1.5</v>
      </c>
    </row>
    <row r="24" spans="1:6" ht="21" customHeight="1" x14ac:dyDescent="0.2">
      <c r="A24" s="218" t="s">
        <v>37</v>
      </c>
      <c r="B24" s="218" t="s">
        <v>333</v>
      </c>
      <c r="C24" s="233">
        <v>1.8</v>
      </c>
      <c r="D24" s="233">
        <v>1.4</v>
      </c>
      <c r="E24" s="230">
        <v>1</v>
      </c>
      <c r="F24" s="230">
        <v>8</v>
      </c>
    </row>
    <row r="25" spans="1:6" ht="21" customHeight="1" x14ac:dyDescent="0.2">
      <c r="A25" s="218" t="s">
        <v>328</v>
      </c>
      <c r="B25" s="218" t="s">
        <v>333</v>
      </c>
      <c r="C25" s="233">
        <v>0.2</v>
      </c>
      <c r="D25" s="233">
        <v>0</v>
      </c>
      <c r="E25" s="230">
        <v>1</v>
      </c>
      <c r="F25" s="230">
        <v>1.5</v>
      </c>
    </row>
    <row r="26" spans="1:6" ht="21" customHeight="1" x14ac:dyDescent="0.2">
      <c r="A26" s="218" t="s">
        <v>331</v>
      </c>
      <c r="C26" s="220"/>
      <c r="D26" s="222" t="s">
        <v>335</v>
      </c>
      <c r="E26" s="231">
        <v>0.45</v>
      </c>
      <c r="F26" s="231">
        <v>0.8</v>
      </c>
    </row>
    <row r="27" spans="1:6" ht="21" customHeight="1" x14ac:dyDescent="0.2">
      <c r="A27" s="218" t="s">
        <v>332</v>
      </c>
      <c r="C27" s="220"/>
      <c r="D27" s="222" t="s">
        <v>335</v>
      </c>
      <c r="E27" s="231">
        <v>6.5</v>
      </c>
      <c r="F27" s="231">
        <v>13.5</v>
      </c>
    </row>
    <row r="28" spans="1:6" ht="21" customHeight="1" x14ac:dyDescent="0.2">
      <c r="A28" s="218" t="s">
        <v>393</v>
      </c>
      <c r="B28" s="218" t="s">
        <v>395</v>
      </c>
      <c r="C28" s="220"/>
      <c r="D28" s="222"/>
      <c r="E28" s="280">
        <v>200</v>
      </c>
      <c r="F28" s="280">
        <v>350</v>
      </c>
    </row>
    <row r="29" spans="1:6" ht="21" customHeight="1" x14ac:dyDescent="0.2">
      <c r="A29" s="218" t="s">
        <v>394</v>
      </c>
      <c r="B29" s="218" t="s">
        <v>395</v>
      </c>
      <c r="C29" s="220"/>
      <c r="D29" s="222"/>
      <c r="E29" s="280"/>
      <c r="F29" s="281">
        <v>0</v>
      </c>
    </row>
    <row r="30" spans="1:6" x14ac:dyDescent="0.2">
      <c r="A30" s="218" t="s">
        <v>355</v>
      </c>
      <c r="B30" s="218" t="s">
        <v>356</v>
      </c>
      <c r="C30" s="221"/>
      <c r="D30" s="227"/>
      <c r="E30" s="231">
        <v>-1000</v>
      </c>
      <c r="F30" s="231">
        <v>500</v>
      </c>
    </row>
  </sheetData>
  <sheetProtection algorithmName="SHA-512" hashValue="IRCw8FwCymRJFDHOf9GVHNpiivJaoM5oIwpRUHTj/eSoVGzHbSdB4t1/z5zeOcupGF23PY0jGmj8aoxNNEscbw==" saltValue="LF9a3ys3dfnibTrQu32U3Q==" spinCount="100000" sheet="1" objects="1" scenarios="1"/>
  <customSheetViews>
    <customSheetView guid="{2DEE39A3-88C5-4D7F-AEB9-0B43FD431165}" hiddenRows="1" topLeftCell="A3">
      <selection activeCell="I5" sqref="I5:I6"/>
      <pageMargins left="0.7" right="0.7" top="0.78740157499999996" bottom="0.78740157499999996" header="0.3" footer="0.3"/>
      <pageSetup paperSize="9" orientation="portrait" verticalDpi="0" r:id="rId1"/>
    </customSheetView>
    <customSheetView guid="{117F828A-4542-4D18-9CDB-B606529AAD66}" showGridLines="0" showRowCol="0">
      <selection activeCell="B8" sqref="B8"/>
      <pageMargins left="0.7" right="0.7" top="0.78740157499999996" bottom="0.78740157499999996" header="0.3" footer="0.3"/>
      <pageSetup paperSize="9" orientation="portrait" verticalDpi="0" r:id="rId2"/>
    </customSheetView>
  </customSheetViews>
  <mergeCells count="1">
    <mergeCell ref="C1:D1"/>
  </mergeCells>
  <pageMargins left="0.7" right="0.7" top="0.78740157499999996" bottom="0.78740157499999996" header="0.3" footer="0.3"/>
  <pageSetup paperSize="9"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G22"/>
  <sheetViews>
    <sheetView showGridLines="0" showRowColHeaders="0" workbookViewId="0">
      <selection activeCell="D12" sqref="D12"/>
    </sheetView>
  </sheetViews>
  <sheetFormatPr baseColWidth="10" defaultColWidth="0" defaultRowHeight="12.75" zeroHeight="1" x14ac:dyDescent="0.2"/>
  <cols>
    <col min="1" max="1" width="3.140625" customWidth="1"/>
    <col min="2" max="2" width="25.5703125" customWidth="1"/>
    <col min="3" max="3" width="2.140625" customWidth="1"/>
    <col min="4" max="4" width="63" style="172" customWidth="1"/>
    <col min="5" max="5" width="2.140625" style="172" customWidth="1"/>
    <col min="6" max="6" width="37.7109375" style="172" customWidth="1"/>
    <col min="7" max="7" width="11.42578125" customWidth="1"/>
    <col min="8" max="16384" width="11.42578125" hidden="1"/>
  </cols>
  <sheetData>
    <row r="1" spans="1:7" x14ac:dyDescent="0.2">
      <c r="A1" s="352"/>
      <c r="B1" s="352"/>
      <c r="C1" s="352"/>
      <c r="D1" s="354"/>
      <c r="E1" s="354"/>
      <c r="F1" s="354"/>
      <c r="G1" s="352"/>
    </row>
    <row r="2" spans="1:7" ht="15.75" x14ac:dyDescent="0.25">
      <c r="A2" s="352"/>
      <c r="B2" s="355" t="s">
        <v>311</v>
      </c>
      <c r="C2" s="355"/>
      <c r="D2" s="354"/>
      <c r="E2" s="354"/>
      <c r="F2" s="354"/>
      <c r="G2" s="352"/>
    </row>
    <row r="3" spans="1:7" x14ac:dyDescent="0.2">
      <c r="A3" s="352"/>
      <c r="B3" s="352"/>
      <c r="C3" s="352"/>
      <c r="D3" s="354"/>
      <c r="E3" s="354"/>
      <c r="F3" s="354"/>
      <c r="G3" s="352"/>
    </row>
    <row r="4" spans="1:7" ht="63.75" customHeight="1" x14ac:dyDescent="0.2">
      <c r="A4" s="352"/>
      <c r="B4" s="1421" t="s">
        <v>564</v>
      </c>
      <c r="C4" s="1421"/>
      <c r="D4" s="1421"/>
      <c r="E4" s="1421"/>
      <c r="F4" s="1421"/>
      <c r="G4" s="352"/>
    </row>
    <row r="5" spans="1:7" x14ac:dyDescent="0.2">
      <c r="A5" s="352"/>
      <c r="B5" s="352"/>
      <c r="C5" s="352"/>
      <c r="D5" s="354"/>
      <c r="E5" s="354"/>
      <c r="F5" s="354"/>
      <c r="G5" s="352"/>
    </row>
    <row r="6" spans="1:7" ht="15.75" x14ac:dyDescent="0.25">
      <c r="A6" s="352"/>
      <c r="B6" s="355" t="s">
        <v>312</v>
      </c>
      <c r="C6" s="356"/>
      <c r="D6" s="354"/>
      <c r="E6" s="354"/>
      <c r="F6" s="354"/>
      <c r="G6" s="352"/>
    </row>
    <row r="7" spans="1:7" ht="15.6" customHeight="1" x14ac:dyDescent="0.2">
      <c r="A7" s="352"/>
      <c r="B7" s="1421" t="s">
        <v>313</v>
      </c>
      <c r="C7" s="1421"/>
      <c r="D7" s="1421"/>
      <c r="E7" s="1421"/>
      <c r="F7" s="1421"/>
      <c r="G7" s="352"/>
    </row>
    <row r="8" spans="1:7" x14ac:dyDescent="0.2">
      <c r="A8" s="352"/>
      <c r="B8" s="352"/>
      <c r="C8" s="352"/>
      <c r="D8" s="354"/>
      <c r="E8" s="354"/>
      <c r="F8" s="354"/>
      <c r="G8" s="352"/>
    </row>
    <row r="9" spans="1:7" x14ac:dyDescent="0.2">
      <c r="A9" s="352"/>
      <c r="B9" s="243" t="s">
        <v>314</v>
      </c>
      <c r="C9" s="243"/>
      <c r="D9" s="244" t="s">
        <v>315</v>
      </c>
      <c r="E9" s="244"/>
      <c r="F9" s="244" t="s">
        <v>316</v>
      </c>
      <c r="G9" s="352"/>
    </row>
    <row r="10" spans="1:7" ht="191.25" x14ac:dyDescent="0.2">
      <c r="A10" s="352"/>
      <c r="B10" s="239" t="s">
        <v>254</v>
      </c>
      <c r="C10" s="350"/>
      <c r="D10" s="351" t="s">
        <v>565</v>
      </c>
      <c r="E10" s="354"/>
      <c r="F10" s="351" t="s">
        <v>362</v>
      </c>
      <c r="G10" s="352"/>
    </row>
    <row r="11" spans="1:7" x14ac:dyDescent="0.2">
      <c r="A11" s="352"/>
      <c r="B11" s="350"/>
      <c r="C11" s="350"/>
      <c r="D11" s="354"/>
      <c r="E11" s="354"/>
      <c r="F11" s="354"/>
      <c r="G11" s="352"/>
    </row>
    <row r="12" spans="1:7" ht="114.75" x14ac:dyDescent="0.2">
      <c r="A12" s="352"/>
      <c r="B12" s="239" t="s">
        <v>214</v>
      </c>
      <c r="C12" s="350"/>
      <c r="D12" s="353" t="s">
        <v>566</v>
      </c>
      <c r="E12" s="354"/>
      <c r="F12" s="351" t="s">
        <v>364</v>
      </c>
      <c r="G12" s="352"/>
    </row>
    <row r="13" spans="1:7" x14ac:dyDescent="0.2">
      <c r="A13" s="352"/>
      <c r="B13" s="350"/>
      <c r="C13" s="350"/>
      <c r="D13" s="354"/>
      <c r="E13" s="354"/>
      <c r="F13" s="354"/>
      <c r="G13" s="352"/>
    </row>
    <row r="14" spans="1:7" ht="395.25" x14ac:dyDescent="0.2">
      <c r="A14" s="352"/>
      <c r="B14" s="240" t="s">
        <v>317</v>
      </c>
      <c r="C14" s="350"/>
      <c r="D14" s="351" t="s">
        <v>336</v>
      </c>
      <c r="E14" s="351"/>
      <c r="F14" s="351" t="s">
        <v>337</v>
      </c>
      <c r="G14" s="352"/>
    </row>
    <row r="15" spans="1:7" x14ac:dyDescent="0.2">
      <c r="A15" s="352"/>
      <c r="B15" s="351"/>
      <c r="C15" s="351"/>
      <c r="D15" s="351"/>
      <c r="E15" s="351"/>
      <c r="F15" s="351"/>
      <c r="G15" s="352"/>
    </row>
    <row r="16" spans="1:7" ht="76.5" x14ac:dyDescent="0.2">
      <c r="A16" s="352"/>
      <c r="B16" s="240" t="s">
        <v>363</v>
      </c>
      <c r="C16" s="350"/>
      <c r="D16" s="351" t="s">
        <v>367</v>
      </c>
      <c r="E16" s="353"/>
      <c r="F16" s="351" t="s">
        <v>338</v>
      </c>
      <c r="G16" s="352"/>
    </row>
    <row r="17" spans="1:7" x14ac:dyDescent="0.2">
      <c r="A17" s="352"/>
      <c r="B17" s="351"/>
      <c r="C17" s="351"/>
      <c r="D17" s="351"/>
      <c r="E17" s="353"/>
      <c r="F17" s="351"/>
      <c r="G17" s="352"/>
    </row>
    <row r="18" spans="1:7" ht="282" customHeight="1" x14ac:dyDescent="0.2">
      <c r="A18" s="352"/>
      <c r="B18" s="240" t="s">
        <v>318</v>
      </c>
      <c r="C18" s="350"/>
      <c r="D18" s="351" t="s">
        <v>567</v>
      </c>
      <c r="E18" s="354"/>
      <c r="F18" s="353" t="s">
        <v>361</v>
      </c>
      <c r="G18" s="352"/>
    </row>
    <row r="19" spans="1:7" x14ac:dyDescent="0.2">
      <c r="A19" s="352"/>
      <c r="B19" s="350"/>
      <c r="C19" s="350"/>
      <c r="D19" s="354"/>
      <c r="E19" s="354"/>
      <c r="F19" s="354"/>
      <c r="G19" s="352"/>
    </row>
    <row r="20" spans="1:7" ht="89.25" x14ac:dyDescent="0.2">
      <c r="A20" s="352"/>
      <c r="B20" s="241" t="s">
        <v>319</v>
      </c>
      <c r="C20" s="350"/>
      <c r="D20" s="353" t="s">
        <v>568</v>
      </c>
      <c r="E20" s="354"/>
      <c r="F20" s="351" t="s">
        <v>365</v>
      </c>
      <c r="G20" s="352"/>
    </row>
    <row r="21" spans="1:7" x14ac:dyDescent="0.2">
      <c r="A21" s="352"/>
      <c r="B21" s="350"/>
      <c r="C21" s="350"/>
      <c r="D21" s="354"/>
      <c r="E21" s="354"/>
      <c r="F21" s="354"/>
      <c r="G21" s="352"/>
    </row>
    <row r="22" spans="1:7" ht="114.75" x14ac:dyDescent="0.2">
      <c r="A22" s="352"/>
      <c r="B22" s="242" t="s">
        <v>320</v>
      </c>
      <c r="C22" s="350"/>
      <c r="D22" s="351" t="s">
        <v>366</v>
      </c>
      <c r="E22" s="354"/>
      <c r="F22" s="351" t="s">
        <v>368</v>
      </c>
      <c r="G22" s="352"/>
    </row>
  </sheetData>
  <sheetProtection algorithmName="SHA-512" hashValue="tagioOBkC+L/lzy77MlqmT2txkN7LdESMKy2gIYmUJoFO8y+RQA5ba1PKr4J/7LVGf1DnMu42ou7UuH+Y9OX9A==" saltValue="eXyWlN0VtpQ06zGi5BoJCA==" spinCount="100000" sheet="1" objects="1" scenarios="1"/>
  <customSheetViews>
    <customSheetView guid="{2DEE39A3-88C5-4D7F-AEB9-0B43FD431165}" showGridLines="0" showRowCol="0" hiddenRows="1" hiddenColumns="1">
      <selection activeCell="A18" sqref="A18:XFD22"/>
      <pageMargins left="0.7" right="0.7" top="0.78740157499999996" bottom="0.78740157499999996" header="0.3" footer="0.3"/>
      <pageSetup paperSize="9" orientation="portrait" verticalDpi="0" r:id="rId1"/>
    </customSheetView>
    <customSheetView guid="{117F828A-4542-4D18-9CDB-B606529AAD66}" showGridLines="0" showRowCol="0" hiddenRows="1" hiddenColumns="1">
      <pageMargins left="0.7" right="0.7" top="0.78740157499999996" bottom="0.78740157499999996" header="0.3" footer="0.3"/>
      <pageSetup paperSize="9" orientation="portrait" verticalDpi="0" r:id="rId2"/>
    </customSheetView>
  </customSheetViews>
  <mergeCells count="2">
    <mergeCell ref="B4:F4"/>
    <mergeCell ref="B7:F7"/>
  </mergeCells>
  <hyperlinks>
    <hyperlink ref="B14" location="'Ration Milch'!A1" display="Ration Milch" xr:uid="{00000000-0004-0000-0100-000000000000}"/>
    <hyperlink ref="B16" location="'Ration Milch-Mineralstoffe'!A1" display="Ration Milch-Mineralstoffe" xr:uid="{00000000-0004-0000-0100-000001000000}"/>
    <hyperlink ref="B18" location="'Zuteilung-Milchleistungsfutter'!A1" display="Zuteilung Milchleistungsfutter" xr:uid="{00000000-0004-0000-0100-000002000000}"/>
    <hyperlink ref="B10" location="Futterwerte!A1" display="Futterwerte" xr:uid="{00000000-0004-0000-0100-000003000000}"/>
    <hyperlink ref="B12" location="Eigenmischungen!A1" display="Eigenmischungen" xr:uid="{00000000-0004-0000-0100-000004000000}"/>
    <hyperlink ref="B20" location="'TMR-Mischplan'!A1" display="TMR-Mischplan" xr:uid="{00000000-0004-0000-0100-000005000000}"/>
    <hyperlink ref="B22" location="'Ration Aufzucht-Mast'!A1" display="Ration Aufzucht-Mast" xr:uid="{00000000-0004-0000-0100-000006000000}"/>
  </hyperlinks>
  <pageMargins left="0.7" right="0.7" top="0.78740157499999996" bottom="0.78740157499999996" header="0.3" footer="0.3"/>
  <pageSetup paperSize="9" orientation="portrait" verticalDpi="0" r:id="rId3"/>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rgb="FFFFC000"/>
    <pageSetUpPr fitToPage="1"/>
  </sheetPr>
  <dimension ref="A1:AP481"/>
  <sheetViews>
    <sheetView showGridLines="0" showRowColHeaders="0" zoomScaleNormal="100" workbookViewId="0">
      <pane xSplit="2" ySplit="7" topLeftCell="E14" activePane="bottomRight" state="frozen"/>
      <selection pane="topRight" activeCell="C1" sqref="C1"/>
      <selection pane="bottomLeft" activeCell="A8" sqref="A8"/>
      <selection pane="bottomRight" activeCell="L20" sqref="L20"/>
    </sheetView>
  </sheetViews>
  <sheetFormatPr baseColWidth="10" defaultColWidth="0" defaultRowHeight="12.75" zeroHeight="1" x14ac:dyDescent="0.2"/>
  <cols>
    <col min="1" max="1" width="2.28515625" style="8" customWidth="1"/>
    <col min="2" max="2" width="41.42578125" style="16" customWidth="1"/>
    <col min="3" max="3" width="8.140625" style="8" customWidth="1"/>
    <col min="4" max="5" width="8.85546875" style="19" customWidth="1"/>
    <col min="6" max="6" width="6.42578125" style="8" customWidth="1"/>
    <col min="7" max="7" width="8.42578125" style="8" customWidth="1"/>
    <col min="8" max="8" width="6.42578125" style="8" customWidth="1"/>
    <col min="9" max="9" width="5.7109375" style="16" bestFit="1" customWidth="1"/>
    <col min="10" max="10" width="5" style="8" customWidth="1"/>
    <col min="11" max="11" width="7" style="21" bestFit="1" customWidth="1"/>
    <col min="12" max="12" width="6.5703125" style="21" bestFit="1" customWidth="1"/>
    <col min="13" max="14" width="8.28515625" style="21" bestFit="1" customWidth="1"/>
    <col min="15" max="15" width="9.7109375" style="292" customWidth="1"/>
    <col min="16" max="16" width="9.7109375" style="16" customWidth="1"/>
    <col min="17" max="17" width="12.140625" style="306" customWidth="1"/>
    <col min="18" max="18" width="6.5703125" style="16" bestFit="1" customWidth="1"/>
    <col min="19" max="19" width="8.28515625" style="8" customWidth="1"/>
    <col min="20" max="20" width="4" style="8" customWidth="1"/>
    <col min="21" max="21" width="9.140625" style="8" bestFit="1" customWidth="1"/>
    <col min="22" max="26" width="6.85546875" style="8" customWidth="1"/>
    <col min="27" max="28" width="9.140625" style="8" customWidth="1"/>
    <col min="29" max="29" width="8.7109375" style="8" customWidth="1"/>
    <col min="30" max="30" width="2" style="8" hidden="1" customWidth="1"/>
    <col min="31" max="31" width="12" style="8" hidden="1" customWidth="1"/>
    <col min="32" max="32" width="7" style="8" hidden="1" customWidth="1"/>
    <col min="33" max="33" width="14.28515625" style="8" hidden="1" customWidth="1"/>
    <col min="34" max="34" width="8" style="8" hidden="1" customWidth="1"/>
    <col min="35" max="35" width="4" style="8" hidden="1" customWidth="1"/>
    <col min="36" max="36" width="6" style="8" hidden="1" customWidth="1"/>
    <col min="37" max="37" width="0.85546875" style="66" hidden="1" customWidth="1"/>
    <col min="38" max="38" width="12.140625" style="72" hidden="1" customWidth="1"/>
    <col min="39" max="42" width="5.7109375" style="66" hidden="1" customWidth="1"/>
    <col min="43" max="16384" width="11.42578125" style="66" hidden="1"/>
  </cols>
  <sheetData>
    <row r="1" spans="1:38" ht="42.75" customHeight="1" thickTop="1" x14ac:dyDescent="0.2">
      <c r="A1" s="728"/>
      <c r="B1" s="397" t="s">
        <v>45</v>
      </c>
      <c r="C1" s="729"/>
      <c r="D1" s="729"/>
      <c r="E1" s="729"/>
      <c r="F1" s="397"/>
      <c r="G1" s="729"/>
      <c r="H1" s="729"/>
      <c r="I1" s="730"/>
      <c r="J1" s="729"/>
      <c r="K1" s="731"/>
      <c r="L1" s="731"/>
      <c r="M1" s="731"/>
      <c r="N1" s="731"/>
      <c r="O1" s="732"/>
      <c r="P1" s="730"/>
      <c r="Q1" s="730"/>
      <c r="R1" s="730"/>
      <c r="S1" s="733"/>
      <c r="T1" s="733"/>
      <c r="U1" s="729"/>
      <c r="V1" s="729"/>
      <c r="W1" s="729"/>
      <c r="X1" s="729"/>
      <c r="Y1" s="734"/>
      <c r="Z1" s="734"/>
      <c r="AA1" s="734"/>
      <c r="AB1" s="729"/>
      <c r="AC1" s="735"/>
      <c r="AL1" s="66"/>
    </row>
    <row r="2" spans="1:38" ht="6.75" customHeight="1" x14ac:dyDescent="0.2">
      <c r="A2" s="736"/>
      <c r="B2" s="737"/>
      <c r="C2" s="738"/>
      <c r="D2" s="739"/>
      <c r="E2" s="739"/>
      <c r="F2" s="739"/>
      <c r="G2" s="739"/>
      <c r="H2" s="739"/>
      <c r="I2" s="740"/>
      <c r="J2" s="737"/>
      <c r="K2" s="741"/>
      <c r="L2" s="741"/>
      <c r="M2" s="741"/>
      <c r="N2" s="741"/>
      <c r="O2" s="742"/>
      <c r="P2" s="740"/>
      <c r="Q2" s="740"/>
      <c r="R2" s="740"/>
      <c r="S2" s="737"/>
      <c r="T2" s="737"/>
      <c r="U2" s="737"/>
      <c r="V2" s="737"/>
      <c r="W2" s="737"/>
      <c r="X2" s="737"/>
      <c r="Y2" s="737"/>
      <c r="Z2" s="737"/>
      <c r="AA2" s="743"/>
      <c r="AB2" s="737"/>
      <c r="AC2" s="744"/>
      <c r="AD2" s="9"/>
      <c r="AL2" s="66"/>
    </row>
    <row r="3" spans="1:38" s="72" customFormat="1" ht="12.75" customHeight="1" x14ac:dyDescent="0.2">
      <c r="A3" s="745"/>
      <c r="B3" s="746" t="s">
        <v>46</v>
      </c>
      <c r="C3" s="747" t="s">
        <v>47</v>
      </c>
      <c r="D3" s="748" t="s">
        <v>48</v>
      </c>
      <c r="E3" s="748" t="s">
        <v>49</v>
      </c>
      <c r="F3" s="749" t="s">
        <v>50</v>
      </c>
      <c r="G3" s="748" t="s">
        <v>574</v>
      </c>
      <c r="H3" s="748" t="s">
        <v>51</v>
      </c>
      <c r="I3" s="750" t="s">
        <v>52</v>
      </c>
      <c r="J3" s="751"/>
      <c r="K3" s="1423" t="s">
        <v>56</v>
      </c>
      <c r="L3" s="1423"/>
      <c r="M3" s="752" t="s">
        <v>179</v>
      </c>
      <c r="N3" s="752" t="s">
        <v>54</v>
      </c>
      <c r="O3" s="753" t="s">
        <v>527</v>
      </c>
      <c r="P3" s="752" t="s">
        <v>53</v>
      </c>
      <c r="Q3" s="752" t="s">
        <v>527</v>
      </c>
      <c r="R3" s="754" t="s">
        <v>141</v>
      </c>
      <c r="S3" s="754" t="s">
        <v>55</v>
      </c>
      <c r="T3" s="752"/>
      <c r="U3" s="752" t="s">
        <v>517</v>
      </c>
      <c r="V3" s="752" t="s">
        <v>303</v>
      </c>
      <c r="W3" s="752"/>
      <c r="X3" s="752"/>
      <c r="Y3" s="752"/>
      <c r="Z3" s="752"/>
      <c r="AA3" s="747"/>
      <c r="AB3" s="755"/>
      <c r="AC3" s="756"/>
      <c r="AD3" s="39"/>
      <c r="AE3" s="68"/>
      <c r="AF3" s="68"/>
      <c r="AG3" s="68"/>
      <c r="AH3" s="69"/>
      <c r="AI3" s="70"/>
      <c r="AJ3" s="70"/>
      <c r="AK3" s="71"/>
    </row>
    <row r="4" spans="1:38" s="72" customFormat="1" ht="22.5" customHeight="1" x14ac:dyDescent="0.2">
      <c r="A4" s="757"/>
      <c r="B4" s="758"/>
      <c r="C4" s="759" t="s">
        <v>577</v>
      </c>
      <c r="D4" s="760" t="s">
        <v>57</v>
      </c>
      <c r="E4" s="760" t="s">
        <v>58</v>
      </c>
      <c r="F4" s="761" t="s">
        <v>59</v>
      </c>
      <c r="G4" s="760" t="s">
        <v>575</v>
      </c>
      <c r="H4" s="760" t="s">
        <v>50</v>
      </c>
      <c r="I4" s="762" t="s">
        <v>60</v>
      </c>
      <c r="J4" s="763"/>
      <c r="K4" s="1422" t="s">
        <v>61</v>
      </c>
      <c r="L4" s="1422"/>
      <c r="M4" s="760" t="s">
        <v>180</v>
      </c>
      <c r="N4" s="760"/>
      <c r="O4" s="764" t="s">
        <v>526</v>
      </c>
      <c r="P4" s="760"/>
      <c r="Q4" s="760" t="s">
        <v>528</v>
      </c>
      <c r="R4" s="760"/>
      <c r="S4" s="760"/>
      <c r="T4" s="760"/>
      <c r="U4" s="760"/>
      <c r="V4" s="760"/>
      <c r="W4" s="760"/>
      <c r="X4" s="760"/>
      <c r="Y4" s="760"/>
      <c r="Z4" s="760"/>
      <c r="AA4" s="765"/>
      <c r="AB4" s="759"/>
      <c r="AC4" s="766"/>
      <c r="AD4" s="68"/>
      <c r="AE4" s="68"/>
      <c r="AF4" s="68"/>
      <c r="AG4" s="68"/>
      <c r="AH4" s="69"/>
      <c r="AI4" s="70"/>
      <c r="AJ4" s="74"/>
      <c r="AK4" s="75"/>
    </row>
    <row r="5" spans="1:38" s="72" customFormat="1" ht="12" x14ac:dyDescent="0.2">
      <c r="A5" s="757"/>
      <c r="B5" s="758"/>
      <c r="C5" s="759"/>
      <c r="D5" s="760" t="s">
        <v>62</v>
      </c>
      <c r="E5" s="760"/>
      <c r="F5" s="761"/>
      <c r="G5" s="760" t="s">
        <v>576</v>
      </c>
      <c r="H5" s="760" t="s">
        <v>59</v>
      </c>
      <c r="I5" s="762" t="s">
        <v>63</v>
      </c>
      <c r="J5" s="760"/>
      <c r="K5" s="767"/>
      <c r="L5" s="767"/>
      <c r="M5" s="760"/>
      <c r="N5" s="760"/>
      <c r="O5" s="760" t="s">
        <v>54</v>
      </c>
      <c r="P5" s="760"/>
      <c r="Q5" s="760" t="s">
        <v>524</v>
      </c>
      <c r="R5" s="760"/>
      <c r="S5" s="760"/>
      <c r="T5" s="760"/>
      <c r="U5" s="760"/>
      <c r="V5" s="760"/>
      <c r="W5" s="760"/>
      <c r="X5" s="760"/>
      <c r="Y5" s="760"/>
      <c r="Z5" s="760"/>
      <c r="AA5" s="765"/>
      <c r="AB5" s="759"/>
      <c r="AC5" s="766"/>
      <c r="AD5" s="68"/>
      <c r="AE5" s="68"/>
      <c r="AF5" s="68"/>
      <c r="AG5" s="68"/>
      <c r="AH5" s="70"/>
      <c r="AI5" s="70"/>
      <c r="AJ5" s="70"/>
      <c r="AK5" s="71"/>
    </row>
    <row r="6" spans="1:38" s="72" customFormat="1" ht="12" x14ac:dyDescent="0.2">
      <c r="A6" s="757"/>
      <c r="B6" s="758"/>
      <c r="C6" s="768" t="s">
        <v>145</v>
      </c>
      <c r="D6" s="769" t="s">
        <v>12</v>
      </c>
      <c r="E6" s="769" t="s">
        <v>64</v>
      </c>
      <c r="F6" s="770" t="s">
        <v>65</v>
      </c>
      <c r="G6" s="769" t="s">
        <v>151</v>
      </c>
      <c r="H6" s="769" t="s">
        <v>13</v>
      </c>
      <c r="I6" s="771" t="s">
        <v>14</v>
      </c>
      <c r="J6" s="769"/>
      <c r="K6" s="772" t="s">
        <v>18</v>
      </c>
      <c r="L6" s="772" t="s">
        <v>530</v>
      </c>
      <c r="M6" s="769" t="s">
        <v>178</v>
      </c>
      <c r="N6" s="769" t="s">
        <v>16</v>
      </c>
      <c r="O6" s="769" t="s">
        <v>66</v>
      </c>
      <c r="P6" s="769" t="s">
        <v>15</v>
      </c>
      <c r="Q6" s="769" t="s">
        <v>556</v>
      </c>
      <c r="R6" s="769" t="s">
        <v>140</v>
      </c>
      <c r="S6" s="769" t="s">
        <v>17</v>
      </c>
      <c r="T6" s="769"/>
      <c r="U6" s="769" t="s">
        <v>181</v>
      </c>
      <c r="V6" s="769" t="s">
        <v>33</v>
      </c>
      <c r="W6" s="769" t="s">
        <v>34</v>
      </c>
      <c r="X6" s="769" t="s">
        <v>35</v>
      </c>
      <c r="Y6" s="769" t="s">
        <v>36</v>
      </c>
      <c r="Z6" s="769" t="s">
        <v>37</v>
      </c>
      <c r="AA6" s="768" t="s">
        <v>328</v>
      </c>
      <c r="AB6" s="768" t="s">
        <v>390</v>
      </c>
      <c r="AC6" s="773" t="s">
        <v>378</v>
      </c>
      <c r="AD6" s="76"/>
      <c r="AE6" s="68" t="s">
        <v>17</v>
      </c>
      <c r="AF6" s="68" t="s">
        <v>16</v>
      </c>
      <c r="AG6" s="68" t="s">
        <v>100</v>
      </c>
      <c r="AH6" s="68" t="s">
        <v>66</v>
      </c>
      <c r="AI6" s="68" t="s">
        <v>15</v>
      </c>
      <c r="AJ6" s="68" t="s">
        <v>67</v>
      </c>
    </row>
    <row r="7" spans="1:38" s="72" customFormat="1" ht="17.25" customHeight="1" x14ac:dyDescent="0.2">
      <c r="A7" s="774"/>
      <c r="B7" s="775"/>
      <c r="C7" s="776" t="s">
        <v>184</v>
      </c>
      <c r="D7" s="777" t="s">
        <v>183</v>
      </c>
      <c r="E7" s="777" t="s">
        <v>183</v>
      </c>
      <c r="F7" s="778" t="s">
        <v>327</v>
      </c>
      <c r="G7" s="777" t="s">
        <v>523</v>
      </c>
      <c r="H7" s="1424" t="s">
        <v>327</v>
      </c>
      <c r="I7" s="1424"/>
      <c r="J7" s="777"/>
      <c r="K7" s="1424" t="s">
        <v>327</v>
      </c>
      <c r="L7" s="1424"/>
      <c r="M7" s="1424"/>
      <c r="N7" s="1424"/>
      <c r="O7" s="777" t="s">
        <v>521</v>
      </c>
      <c r="P7" s="1424" t="s">
        <v>182</v>
      </c>
      <c r="Q7" s="1424"/>
      <c r="R7" s="1424"/>
      <c r="S7" s="1424"/>
      <c r="T7" s="1424"/>
      <c r="U7" s="1424"/>
      <c r="V7" s="1424"/>
      <c r="W7" s="1424"/>
      <c r="X7" s="1424"/>
      <c r="Y7" s="1424"/>
      <c r="Z7" s="1425"/>
      <c r="AA7" s="779" t="s">
        <v>330</v>
      </c>
      <c r="AB7" s="780" t="s">
        <v>391</v>
      </c>
      <c r="AC7" s="756" t="s">
        <v>380</v>
      </c>
      <c r="AD7" s="77"/>
      <c r="AE7" s="68"/>
      <c r="AF7" s="68"/>
      <c r="AG7" s="68"/>
      <c r="AH7" s="68"/>
      <c r="AI7" s="68"/>
      <c r="AJ7" s="68"/>
    </row>
    <row r="8" spans="1:38" s="72" customFormat="1" ht="17.25" customHeight="1" x14ac:dyDescent="0.2">
      <c r="A8" s="781" t="s">
        <v>573</v>
      </c>
      <c r="B8" s="782"/>
      <c r="C8" s="783">
        <v>0</v>
      </c>
      <c r="D8" s="784">
        <v>0</v>
      </c>
      <c r="E8" s="784">
        <v>0</v>
      </c>
      <c r="F8" s="785">
        <v>0</v>
      </c>
      <c r="G8" s="784">
        <v>0</v>
      </c>
      <c r="H8" s="784">
        <v>0</v>
      </c>
      <c r="I8" s="784">
        <v>0</v>
      </c>
      <c r="J8" s="784">
        <v>0</v>
      </c>
      <c r="K8" s="784">
        <v>0</v>
      </c>
      <c r="L8" s="784">
        <v>0</v>
      </c>
      <c r="M8" s="784">
        <v>0</v>
      </c>
      <c r="N8" s="784">
        <v>0</v>
      </c>
      <c r="O8" s="784">
        <v>0</v>
      </c>
      <c r="P8" s="784">
        <v>0</v>
      </c>
      <c r="Q8" s="784">
        <v>0</v>
      </c>
      <c r="R8" s="760"/>
      <c r="S8" s="784">
        <v>0</v>
      </c>
      <c r="T8" s="784">
        <v>0</v>
      </c>
      <c r="U8" s="784">
        <v>0</v>
      </c>
      <c r="V8" s="784">
        <v>0</v>
      </c>
      <c r="W8" s="786">
        <v>0</v>
      </c>
      <c r="X8" s="786">
        <v>0</v>
      </c>
      <c r="Y8" s="786">
        <v>0</v>
      </c>
      <c r="Z8" s="787">
        <v>0</v>
      </c>
      <c r="AA8" s="788"/>
      <c r="AB8" s="783"/>
      <c r="AC8" s="789"/>
      <c r="AD8" s="73"/>
      <c r="AE8" s="73"/>
      <c r="AF8" s="73"/>
      <c r="AG8" s="73"/>
      <c r="AH8" s="73"/>
      <c r="AI8" s="73"/>
      <c r="AJ8" s="73"/>
    </row>
    <row r="9" spans="1:38" s="72" customFormat="1" ht="17.25" customHeight="1" x14ac:dyDescent="0.2">
      <c r="A9" s="712"/>
      <c r="B9" s="91"/>
      <c r="C9" s="331"/>
      <c r="D9" s="85"/>
      <c r="E9" s="85"/>
      <c r="F9" s="327"/>
      <c r="G9" s="328"/>
      <c r="H9" s="87"/>
      <c r="I9" s="332"/>
      <c r="J9" s="85"/>
      <c r="K9" s="87"/>
      <c r="L9" s="87"/>
      <c r="M9" s="87"/>
      <c r="N9" s="87"/>
      <c r="O9" s="92"/>
      <c r="P9" s="342"/>
      <c r="Q9" s="87">
        <f t="shared" ref="Q9:Q33" si="0">(N9-O9*N9)+P9</f>
        <v>0</v>
      </c>
      <c r="R9" s="87"/>
      <c r="S9" s="87"/>
      <c r="T9" s="92"/>
      <c r="U9" s="87"/>
      <c r="V9" s="85"/>
      <c r="W9" s="85"/>
      <c r="X9" s="85"/>
      <c r="Y9" s="85"/>
      <c r="Z9" s="87"/>
      <c r="AA9" s="331"/>
      <c r="AB9" s="343"/>
      <c r="AC9" s="271"/>
      <c r="AD9" s="78"/>
      <c r="AE9" s="78"/>
      <c r="AF9" s="78"/>
      <c r="AG9" s="78"/>
      <c r="AH9" s="78"/>
      <c r="AI9" s="78"/>
      <c r="AJ9" s="78"/>
    </row>
    <row r="10" spans="1:38" s="72" customFormat="1" ht="17.25" customHeight="1" x14ac:dyDescent="0.2">
      <c r="A10" s="712"/>
      <c r="B10" s="91"/>
      <c r="C10" s="331"/>
      <c r="D10" s="85"/>
      <c r="E10" s="85"/>
      <c r="F10" s="327"/>
      <c r="G10" s="328"/>
      <c r="H10" s="87"/>
      <c r="I10" s="332"/>
      <c r="J10" s="85"/>
      <c r="K10" s="87"/>
      <c r="L10" s="87"/>
      <c r="M10" s="87"/>
      <c r="N10" s="87"/>
      <c r="O10" s="92"/>
      <c r="P10" s="342"/>
      <c r="Q10" s="87">
        <f t="shared" si="0"/>
        <v>0</v>
      </c>
      <c r="R10" s="87"/>
      <c r="S10" s="87"/>
      <c r="T10" s="92"/>
      <c r="U10" s="87"/>
      <c r="V10" s="85"/>
      <c r="W10" s="85"/>
      <c r="X10" s="85"/>
      <c r="Y10" s="85"/>
      <c r="Z10" s="87"/>
      <c r="AA10" s="331"/>
      <c r="AB10" s="343"/>
      <c r="AC10" s="271"/>
      <c r="AD10" s="78"/>
      <c r="AE10" s="78"/>
      <c r="AF10" s="78"/>
      <c r="AG10" s="78"/>
      <c r="AH10" s="78"/>
      <c r="AI10" s="78"/>
      <c r="AJ10" s="78"/>
    </row>
    <row r="11" spans="1:38" s="72" customFormat="1" ht="17.25" customHeight="1" x14ac:dyDescent="0.2">
      <c r="A11" s="712"/>
      <c r="B11" s="91"/>
      <c r="C11" s="331"/>
      <c r="D11" s="85"/>
      <c r="E11" s="85"/>
      <c r="F11" s="327"/>
      <c r="G11" s="328"/>
      <c r="H11" s="87"/>
      <c r="I11" s="332"/>
      <c r="J11" s="85"/>
      <c r="K11" s="87"/>
      <c r="L11" s="87"/>
      <c r="M11" s="87"/>
      <c r="N11" s="87"/>
      <c r="O11" s="92"/>
      <c r="P11" s="87"/>
      <c r="Q11" s="87">
        <f t="shared" si="0"/>
        <v>0</v>
      </c>
      <c r="R11" s="87"/>
      <c r="S11" s="87"/>
      <c r="T11" s="92"/>
      <c r="U11" s="87"/>
      <c r="V11" s="85"/>
      <c r="W11" s="85"/>
      <c r="X11" s="85"/>
      <c r="Y11" s="85"/>
      <c r="Z11" s="87"/>
      <c r="AA11" s="331"/>
      <c r="AB11" s="331"/>
      <c r="AC11" s="271"/>
      <c r="AD11" s="78"/>
      <c r="AE11" s="78"/>
      <c r="AF11" s="78"/>
      <c r="AG11" s="78"/>
      <c r="AH11" s="78"/>
      <c r="AI11" s="78"/>
      <c r="AJ11" s="78"/>
    </row>
    <row r="12" spans="1:38" s="72" customFormat="1" ht="17.25" customHeight="1" x14ac:dyDescent="0.2">
      <c r="A12" s="712"/>
      <c r="B12" s="91"/>
      <c r="C12" s="331"/>
      <c r="D12" s="85"/>
      <c r="E12" s="85"/>
      <c r="F12" s="327"/>
      <c r="G12" s="328"/>
      <c r="H12" s="87"/>
      <c r="I12" s="332"/>
      <c r="J12" s="85"/>
      <c r="K12" s="87"/>
      <c r="L12" s="87"/>
      <c r="M12" s="87"/>
      <c r="N12" s="87"/>
      <c r="O12" s="92"/>
      <c r="P12" s="87"/>
      <c r="Q12" s="87">
        <f t="shared" si="0"/>
        <v>0</v>
      </c>
      <c r="R12" s="87"/>
      <c r="S12" s="87"/>
      <c r="T12" s="92"/>
      <c r="U12" s="87"/>
      <c r="V12" s="85"/>
      <c r="W12" s="85"/>
      <c r="X12" s="85"/>
      <c r="Y12" s="85"/>
      <c r="Z12" s="87"/>
      <c r="AA12" s="331"/>
      <c r="AB12" s="331"/>
      <c r="AC12" s="271"/>
      <c r="AD12" s="78"/>
      <c r="AE12" s="78"/>
      <c r="AF12" s="78"/>
      <c r="AG12" s="78"/>
      <c r="AH12" s="78"/>
      <c r="AI12" s="78"/>
      <c r="AJ12" s="78"/>
    </row>
    <row r="13" spans="1:38" s="72" customFormat="1" ht="17.25" customHeight="1" x14ac:dyDescent="0.2">
      <c r="A13" s="712"/>
      <c r="B13" s="91"/>
      <c r="C13" s="331"/>
      <c r="D13" s="85"/>
      <c r="E13" s="85"/>
      <c r="F13" s="327"/>
      <c r="G13" s="92"/>
      <c r="H13" s="87"/>
      <c r="I13" s="85"/>
      <c r="J13" s="85"/>
      <c r="K13" s="87"/>
      <c r="L13" s="87"/>
      <c r="M13" s="87"/>
      <c r="N13" s="87"/>
      <c r="O13" s="92"/>
      <c r="P13" s="342"/>
      <c r="Q13" s="87">
        <f t="shared" si="0"/>
        <v>0</v>
      </c>
      <c r="R13" s="87"/>
      <c r="S13" s="87"/>
      <c r="T13" s="92"/>
      <c r="U13" s="87"/>
      <c r="V13" s="85"/>
      <c r="W13" s="85"/>
      <c r="X13" s="85"/>
      <c r="Y13" s="85"/>
      <c r="Z13" s="334"/>
      <c r="AA13" s="335"/>
      <c r="AB13" s="343"/>
      <c r="AC13" s="272"/>
      <c r="AD13" s="78"/>
      <c r="AE13" s="78"/>
      <c r="AF13" s="78"/>
      <c r="AG13" s="78"/>
      <c r="AH13" s="78"/>
      <c r="AI13" s="78"/>
    </row>
    <row r="14" spans="1:38" s="72" customFormat="1" ht="17.25" customHeight="1" x14ac:dyDescent="0.2">
      <c r="A14" s="712"/>
      <c r="B14" s="91"/>
      <c r="C14" s="331"/>
      <c r="D14" s="85"/>
      <c r="E14" s="85"/>
      <c r="F14" s="327"/>
      <c r="G14" s="92"/>
      <c r="H14" s="87"/>
      <c r="I14" s="85"/>
      <c r="J14" s="85"/>
      <c r="K14" s="87"/>
      <c r="L14" s="87"/>
      <c r="M14" s="87"/>
      <c r="N14" s="87"/>
      <c r="O14" s="92"/>
      <c r="P14" s="342"/>
      <c r="Q14" s="87">
        <f t="shared" si="0"/>
        <v>0</v>
      </c>
      <c r="R14" s="87"/>
      <c r="S14" s="87"/>
      <c r="T14" s="92"/>
      <c r="U14" s="87"/>
      <c r="V14" s="85"/>
      <c r="W14" s="85"/>
      <c r="X14" s="85"/>
      <c r="Y14" s="85"/>
      <c r="Z14" s="334"/>
      <c r="AA14" s="335"/>
      <c r="AB14" s="343"/>
      <c r="AC14" s="272"/>
      <c r="AD14" s="78"/>
      <c r="AE14" s="78"/>
      <c r="AF14" s="78"/>
      <c r="AG14" s="78"/>
      <c r="AH14" s="78"/>
      <c r="AI14" s="78"/>
    </row>
    <row r="15" spans="1:38" s="72" customFormat="1" ht="17.25" customHeight="1" x14ac:dyDescent="0.2">
      <c r="A15" s="712"/>
      <c r="B15" s="91"/>
      <c r="C15" s="331"/>
      <c r="D15" s="85"/>
      <c r="E15" s="85"/>
      <c r="F15" s="327"/>
      <c r="G15" s="92"/>
      <c r="H15" s="87"/>
      <c r="I15" s="85"/>
      <c r="J15" s="85"/>
      <c r="K15" s="87"/>
      <c r="L15" s="87"/>
      <c r="M15" s="87"/>
      <c r="N15" s="87"/>
      <c r="O15" s="92"/>
      <c r="P15" s="87"/>
      <c r="Q15" s="87">
        <f t="shared" si="0"/>
        <v>0</v>
      </c>
      <c r="R15" s="87"/>
      <c r="S15" s="87"/>
      <c r="T15" s="92"/>
      <c r="U15" s="87"/>
      <c r="V15" s="85"/>
      <c r="W15" s="85"/>
      <c r="X15" s="85"/>
      <c r="Y15" s="85"/>
      <c r="Z15" s="334"/>
      <c r="AA15" s="335"/>
      <c r="AB15" s="331"/>
      <c r="AC15" s="272"/>
      <c r="AD15" s="78"/>
      <c r="AE15" s="78"/>
      <c r="AF15" s="78"/>
      <c r="AG15" s="78"/>
      <c r="AH15" s="78"/>
      <c r="AI15" s="78"/>
    </row>
    <row r="16" spans="1:38" s="72" customFormat="1" ht="17.25" customHeight="1" x14ac:dyDescent="0.2">
      <c r="A16" s="712"/>
      <c r="B16" s="91"/>
      <c r="C16" s="331"/>
      <c r="D16" s="85"/>
      <c r="E16" s="85"/>
      <c r="F16" s="327"/>
      <c r="G16" s="92"/>
      <c r="H16" s="87"/>
      <c r="I16" s="85"/>
      <c r="J16" s="85"/>
      <c r="K16" s="87"/>
      <c r="L16" s="87"/>
      <c r="M16" s="87"/>
      <c r="N16" s="87"/>
      <c r="O16" s="92"/>
      <c r="P16" s="87"/>
      <c r="Q16" s="87">
        <f t="shared" si="0"/>
        <v>0</v>
      </c>
      <c r="R16" s="87"/>
      <c r="S16" s="87"/>
      <c r="T16" s="92"/>
      <c r="U16" s="87"/>
      <c r="V16" s="85"/>
      <c r="W16" s="85"/>
      <c r="X16" s="85"/>
      <c r="Y16" s="85"/>
      <c r="Z16" s="334"/>
      <c r="AA16" s="335"/>
      <c r="AB16" s="331"/>
      <c r="AC16" s="272"/>
      <c r="AD16" s="78"/>
      <c r="AE16" s="78"/>
      <c r="AF16" s="78"/>
      <c r="AG16" s="78"/>
      <c r="AH16" s="78"/>
      <c r="AI16" s="78"/>
    </row>
    <row r="17" spans="1:35" s="72" customFormat="1" ht="17.25" customHeight="1" x14ac:dyDescent="0.2">
      <c r="A17" s="712"/>
      <c r="B17" s="91"/>
      <c r="C17" s="331"/>
      <c r="D17" s="85"/>
      <c r="E17" s="85"/>
      <c r="F17" s="327"/>
      <c r="G17" s="328"/>
      <c r="H17" s="87"/>
      <c r="I17" s="332"/>
      <c r="J17" s="85"/>
      <c r="K17" s="87"/>
      <c r="L17" s="87"/>
      <c r="M17" s="87"/>
      <c r="N17" s="87"/>
      <c r="O17" s="92"/>
      <c r="P17" s="342"/>
      <c r="Q17" s="87">
        <f t="shared" si="0"/>
        <v>0</v>
      </c>
      <c r="R17" s="87"/>
      <c r="S17" s="87"/>
      <c r="T17" s="92"/>
      <c r="U17" s="87"/>
      <c r="V17" s="85"/>
      <c r="W17" s="85"/>
      <c r="X17" s="85"/>
      <c r="Y17" s="85"/>
      <c r="Z17" s="87"/>
      <c r="AA17" s="331"/>
      <c r="AB17" s="343"/>
      <c r="AC17" s="271"/>
      <c r="AD17" s="78"/>
      <c r="AE17" s="78"/>
      <c r="AF17" s="78"/>
      <c r="AG17" s="78"/>
      <c r="AH17" s="78"/>
      <c r="AI17" s="78"/>
    </row>
    <row r="18" spans="1:35" s="72" customFormat="1" ht="17.25" customHeight="1" x14ac:dyDescent="0.2">
      <c r="A18" s="712"/>
      <c r="B18" s="91"/>
      <c r="C18" s="331"/>
      <c r="D18" s="85"/>
      <c r="E18" s="85"/>
      <c r="F18" s="327"/>
      <c r="G18" s="92"/>
      <c r="H18" s="87"/>
      <c r="I18" s="85"/>
      <c r="J18" s="85"/>
      <c r="K18" s="87"/>
      <c r="L18" s="87"/>
      <c r="M18" s="87"/>
      <c r="N18" s="87"/>
      <c r="O18" s="92"/>
      <c r="P18" s="87"/>
      <c r="Q18" s="87">
        <f t="shared" si="0"/>
        <v>0</v>
      </c>
      <c r="R18" s="87"/>
      <c r="S18" s="87"/>
      <c r="T18" s="92"/>
      <c r="U18" s="87"/>
      <c r="V18" s="85"/>
      <c r="W18" s="85"/>
      <c r="X18" s="85"/>
      <c r="Y18" s="85"/>
      <c r="Z18" s="334"/>
      <c r="AA18" s="335"/>
      <c r="AB18" s="331"/>
      <c r="AC18" s="272"/>
      <c r="AD18" s="78"/>
      <c r="AE18" s="78"/>
      <c r="AF18" s="78"/>
      <c r="AG18" s="78"/>
      <c r="AH18" s="78"/>
      <c r="AI18" s="78"/>
    </row>
    <row r="19" spans="1:35" s="72" customFormat="1" ht="17.25" customHeight="1" x14ac:dyDescent="0.2">
      <c r="A19" s="712"/>
      <c r="B19" s="91"/>
      <c r="C19" s="331"/>
      <c r="D19" s="85"/>
      <c r="E19" s="85"/>
      <c r="F19" s="327"/>
      <c r="G19" s="92"/>
      <c r="H19" s="87"/>
      <c r="I19" s="85"/>
      <c r="J19" s="85"/>
      <c r="K19" s="87"/>
      <c r="L19" s="87"/>
      <c r="M19" s="87"/>
      <c r="N19" s="87"/>
      <c r="O19" s="92"/>
      <c r="P19" s="87"/>
      <c r="Q19" s="87">
        <f t="shared" si="0"/>
        <v>0</v>
      </c>
      <c r="R19" s="87"/>
      <c r="S19" s="87"/>
      <c r="T19" s="92"/>
      <c r="U19" s="87"/>
      <c r="V19" s="85"/>
      <c r="W19" s="85"/>
      <c r="X19" s="85"/>
      <c r="Y19" s="85"/>
      <c r="Z19" s="334"/>
      <c r="AA19" s="335"/>
      <c r="AB19" s="331"/>
      <c r="AC19" s="272"/>
      <c r="AD19" s="78"/>
      <c r="AE19" s="78"/>
      <c r="AF19" s="78"/>
      <c r="AG19" s="78"/>
      <c r="AH19" s="78"/>
      <c r="AI19" s="78"/>
    </row>
    <row r="20" spans="1:35" s="72" customFormat="1" ht="17.25" customHeight="1" x14ac:dyDescent="0.2">
      <c r="A20" s="712"/>
      <c r="B20" s="91"/>
      <c r="C20" s="331"/>
      <c r="D20" s="85"/>
      <c r="E20" s="85"/>
      <c r="F20" s="327"/>
      <c r="G20" s="92"/>
      <c r="H20" s="87"/>
      <c r="I20" s="85"/>
      <c r="J20" s="85"/>
      <c r="K20" s="87"/>
      <c r="L20" s="87"/>
      <c r="M20" s="87"/>
      <c r="N20" s="87"/>
      <c r="O20" s="92"/>
      <c r="P20" s="87"/>
      <c r="Q20" s="87">
        <f t="shared" si="0"/>
        <v>0</v>
      </c>
      <c r="R20" s="87"/>
      <c r="S20" s="87"/>
      <c r="T20" s="92"/>
      <c r="U20" s="87"/>
      <c r="V20" s="85"/>
      <c r="W20" s="85"/>
      <c r="X20" s="85"/>
      <c r="Y20" s="85"/>
      <c r="Z20" s="334"/>
      <c r="AA20" s="335"/>
      <c r="AB20" s="331"/>
      <c r="AC20" s="272"/>
      <c r="AD20" s="78"/>
      <c r="AE20" s="78"/>
      <c r="AF20" s="78"/>
      <c r="AG20" s="78"/>
      <c r="AH20" s="78"/>
      <c r="AI20" s="78"/>
    </row>
    <row r="21" spans="1:35" s="72" customFormat="1" ht="17.25" customHeight="1" x14ac:dyDescent="0.2">
      <c r="A21" s="712"/>
      <c r="B21" s="91"/>
      <c r="C21" s="331"/>
      <c r="D21" s="85"/>
      <c r="E21" s="85"/>
      <c r="F21" s="327"/>
      <c r="G21" s="92"/>
      <c r="H21" s="87"/>
      <c r="I21" s="85"/>
      <c r="J21" s="85"/>
      <c r="K21" s="87"/>
      <c r="L21" s="87"/>
      <c r="M21" s="87"/>
      <c r="N21" s="87"/>
      <c r="O21" s="92"/>
      <c r="P21" s="87"/>
      <c r="Q21" s="87">
        <f t="shared" si="0"/>
        <v>0</v>
      </c>
      <c r="R21" s="87"/>
      <c r="S21" s="87"/>
      <c r="T21" s="92"/>
      <c r="U21" s="87"/>
      <c r="V21" s="85"/>
      <c r="W21" s="85"/>
      <c r="X21" s="85"/>
      <c r="Y21" s="85"/>
      <c r="Z21" s="334"/>
      <c r="AA21" s="335"/>
      <c r="AB21" s="331"/>
      <c r="AC21" s="272"/>
      <c r="AD21" s="78"/>
      <c r="AE21" s="78"/>
      <c r="AF21" s="78"/>
      <c r="AG21" s="78"/>
      <c r="AH21" s="78"/>
      <c r="AI21" s="78"/>
    </row>
    <row r="22" spans="1:35" s="72" customFormat="1" ht="17.25" customHeight="1" x14ac:dyDescent="0.2">
      <c r="A22" s="712"/>
      <c r="B22" s="91"/>
      <c r="C22" s="331"/>
      <c r="D22" s="85"/>
      <c r="E22" s="85"/>
      <c r="F22" s="327"/>
      <c r="G22" s="92"/>
      <c r="H22" s="87"/>
      <c r="I22" s="85"/>
      <c r="J22" s="85"/>
      <c r="K22" s="87"/>
      <c r="L22" s="87"/>
      <c r="M22" s="87"/>
      <c r="N22" s="87"/>
      <c r="O22" s="92"/>
      <c r="P22" s="87"/>
      <c r="Q22" s="87">
        <f t="shared" si="0"/>
        <v>0</v>
      </c>
      <c r="R22" s="87"/>
      <c r="S22" s="87"/>
      <c r="T22" s="92"/>
      <c r="U22" s="87"/>
      <c r="V22" s="85"/>
      <c r="W22" s="85"/>
      <c r="X22" s="85"/>
      <c r="Y22" s="85"/>
      <c r="Z22" s="334"/>
      <c r="AA22" s="335"/>
      <c r="AB22" s="331"/>
      <c r="AC22" s="272"/>
      <c r="AD22" s="78"/>
      <c r="AE22" s="78"/>
      <c r="AF22" s="78"/>
      <c r="AG22" s="78"/>
      <c r="AH22" s="78"/>
      <c r="AI22" s="78"/>
    </row>
    <row r="23" spans="1:35" s="72" customFormat="1" ht="17.25" customHeight="1" x14ac:dyDescent="0.2">
      <c r="A23" s="712"/>
      <c r="B23" s="91"/>
      <c r="C23" s="331"/>
      <c r="D23" s="85"/>
      <c r="E23" s="85"/>
      <c r="F23" s="327"/>
      <c r="G23" s="92"/>
      <c r="H23" s="87"/>
      <c r="I23" s="85"/>
      <c r="J23" s="85"/>
      <c r="K23" s="87"/>
      <c r="L23" s="87"/>
      <c r="M23" s="87"/>
      <c r="N23" s="87"/>
      <c r="O23" s="92"/>
      <c r="P23" s="87"/>
      <c r="Q23" s="87">
        <f t="shared" si="0"/>
        <v>0</v>
      </c>
      <c r="R23" s="87"/>
      <c r="S23" s="87"/>
      <c r="T23" s="92"/>
      <c r="U23" s="87"/>
      <c r="V23" s="85"/>
      <c r="W23" s="85"/>
      <c r="X23" s="85"/>
      <c r="Y23" s="85"/>
      <c r="Z23" s="334"/>
      <c r="AA23" s="335"/>
      <c r="AB23" s="331"/>
      <c r="AC23" s="272"/>
      <c r="AD23" s="78"/>
      <c r="AE23" s="78"/>
      <c r="AF23" s="78"/>
      <c r="AG23" s="78"/>
      <c r="AH23" s="78"/>
      <c r="AI23" s="78"/>
    </row>
    <row r="24" spans="1:35" s="72" customFormat="1" ht="17.25" customHeight="1" x14ac:dyDescent="0.2">
      <c r="A24" s="712"/>
      <c r="B24" s="91"/>
      <c r="C24" s="331"/>
      <c r="D24" s="85"/>
      <c r="E24" s="85"/>
      <c r="F24" s="327"/>
      <c r="G24" s="92"/>
      <c r="H24" s="87"/>
      <c r="I24" s="85"/>
      <c r="J24" s="85"/>
      <c r="K24" s="87"/>
      <c r="L24" s="87"/>
      <c r="M24" s="87"/>
      <c r="N24" s="87"/>
      <c r="O24" s="92"/>
      <c r="P24" s="87"/>
      <c r="Q24" s="87">
        <f t="shared" si="0"/>
        <v>0</v>
      </c>
      <c r="R24" s="87"/>
      <c r="S24" s="87"/>
      <c r="T24" s="92"/>
      <c r="U24" s="87"/>
      <c r="V24" s="85"/>
      <c r="W24" s="85"/>
      <c r="X24" s="85"/>
      <c r="Y24" s="85"/>
      <c r="Z24" s="334"/>
      <c r="AA24" s="335"/>
      <c r="AB24" s="331"/>
      <c r="AC24" s="272"/>
      <c r="AD24" s="78"/>
      <c r="AE24" s="78"/>
      <c r="AF24" s="78"/>
      <c r="AG24" s="78"/>
      <c r="AH24" s="78"/>
      <c r="AI24" s="78"/>
    </row>
    <row r="25" spans="1:35" s="72" customFormat="1" ht="17.25" customHeight="1" x14ac:dyDescent="0.2">
      <c r="A25" s="712"/>
      <c r="B25" s="91"/>
      <c r="C25" s="331"/>
      <c r="D25" s="85"/>
      <c r="E25" s="85"/>
      <c r="F25" s="327"/>
      <c r="G25" s="92"/>
      <c r="H25" s="87"/>
      <c r="I25" s="85"/>
      <c r="J25" s="85"/>
      <c r="K25" s="87"/>
      <c r="L25" s="87"/>
      <c r="M25" s="87"/>
      <c r="N25" s="87"/>
      <c r="O25" s="92"/>
      <c r="P25" s="87"/>
      <c r="Q25" s="87">
        <f t="shared" si="0"/>
        <v>0</v>
      </c>
      <c r="R25" s="87"/>
      <c r="S25" s="87"/>
      <c r="T25" s="92"/>
      <c r="U25" s="87"/>
      <c r="V25" s="85"/>
      <c r="W25" s="85"/>
      <c r="X25" s="85"/>
      <c r="Y25" s="85"/>
      <c r="Z25" s="334"/>
      <c r="AA25" s="335"/>
      <c r="AB25" s="331"/>
      <c r="AC25" s="272"/>
      <c r="AD25" s="78"/>
      <c r="AE25" s="78"/>
      <c r="AF25" s="78"/>
      <c r="AG25" s="78"/>
      <c r="AH25" s="78"/>
      <c r="AI25" s="78"/>
    </row>
    <row r="26" spans="1:35" s="72" customFormat="1" ht="17.25" customHeight="1" x14ac:dyDescent="0.2">
      <c r="A26" s="712"/>
      <c r="B26" s="91"/>
      <c r="C26" s="331"/>
      <c r="D26" s="85"/>
      <c r="E26" s="85"/>
      <c r="F26" s="327"/>
      <c r="G26" s="92"/>
      <c r="H26" s="87"/>
      <c r="I26" s="85"/>
      <c r="J26" s="85"/>
      <c r="K26" s="87"/>
      <c r="L26" s="87"/>
      <c r="M26" s="87"/>
      <c r="N26" s="87"/>
      <c r="O26" s="92"/>
      <c r="P26" s="87"/>
      <c r="Q26" s="87">
        <f t="shared" si="0"/>
        <v>0</v>
      </c>
      <c r="R26" s="87"/>
      <c r="S26" s="87"/>
      <c r="T26" s="92"/>
      <c r="U26" s="87"/>
      <c r="V26" s="85"/>
      <c r="W26" s="85"/>
      <c r="X26" s="85"/>
      <c r="Y26" s="85"/>
      <c r="Z26" s="334"/>
      <c r="AA26" s="335"/>
      <c r="AB26" s="331"/>
      <c r="AC26" s="272"/>
      <c r="AD26" s="78"/>
      <c r="AE26" s="78"/>
      <c r="AF26" s="78"/>
      <c r="AG26" s="78"/>
      <c r="AH26" s="78"/>
      <c r="AI26" s="78"/>
    </row>
    <row r="27" spans="1:35" s="72" customFormat="1" ht="17.25" customHeight="1" x14ac:dyDescent="0.2">
      <c r="A27" s="712"/>
      <c r="B27" s="91"/>
      <c r="C27" s="331"/>
      <c r="D27" s="85"/>
      <c r="E27" s="85"/>
      <c r="F27" s="327"/>
      <c r="G27" s="92"/>
      <c r="H27" s="87"/>
      <c r="I27" s="85"/>
      <c r="J27" s="85"/>
      <c r="K27" s="87"/>
      <c r="L27" s="87"/>
      <c r="M27" s="87"/>
      <c r="N27" s="87"/>
      <c r="O27" s="92"/>
      <c r="P27" s="87"/>
      <c r="Q27" s="87">
        <f t="shared" si="0"/>
        <v>0</v>
      </c>
      <c r="R27" s="87"/>
      <c r="S27" s="87"/>
      <c r="T27" s="92"/>
      <c r="U27" s="87"/>
      <c r="V27" s="85"/>
      <c r="W27" s="85"/>
      <c r="X27" s="85"/>
      <c r="Y27" s="85"/>
      <c r="Z27" s="334"/>
      <c r="AA27" s="335"/>
      <c r="AB27" s="331"/>
      <c r="AC27" s="272"/>
      <c r="AD27" s="78"/>
      <c r="AE27" s="78"/>
      <c r="AF27" s="78"/>
      <c r="AG27" s="78"/>
      <c r="AH27" s="78"/>
      <c r="AI27" s="78"/>
    </row>
    <row r="28" spans="1:35" s="72" customFormat="1" ht="17.25" customHeight="1" x14ac:dyDescent="0.2">
      <c r="A28" s="712"/>
      <c r="B28" s="91"/>
      <c r="C28" s="331"/>
      <c r="D28" s="85"/>
      <c r="E28" s="85"/>
      <c r="F28" s="327"/>
      <c r="G28" s="92"/>
      <c r="H28" s="87"/>
      <c r="I28" s="85"/>
      <c r="J28" s="85"/>
      <c r="K28" s="87"/>
      <c r="L28" s="87"/>
      <c r="M28" s="87"/>
      <c r="N28" s="87"/>
      <c r="O28" s="92"/>
      <c r="P28" s="87"/>
      <c r="Q28" s="87">
        <f t="shared" si="0"/>
        <v>0</v>
      </c>
      <c r="R28" s="87"/>
      <c r="S28" s="87"/>
      <c r="T28" s="92"/>
      <c r="U28" s="87"/>
      <c r="V28" s="85"/>
      <c r="W28" s="85"/>
      <c r="X28" s="85"/>
      <c r="Y28" s="85"/>
      <c r="Z28" s="334"/>
      <c r="AA28" s="335"/>
      <c r="AB28" s="331"/>
      <c r="AC28" s="272"/>
      <c r="AD28" s="78"/>
      <c r="AE28" s="78"/>
      <c r="AF28" s="78"/>
      <c r="AG28" s="78"/>
      <c r="AH28" s="78"/>
      <c r="AI28" s="78"/>
    </row>
    <row r="29" spans="1:35" s="72" customFormat="1" ht="17.25" customHeight="1" x14ac:dyDescent="0.2">
      <c r="A29" s="712"/>
      <c r="B29" s="91"/>
      <c r="C29" s="331"/>
      <c r="D29" s="85"/>
      <c r="E29" s="85"/>
      <c r="F29" s="327"/>
      <c r="G29" s="92"/>
      <c r="H29" s="87"/>
      <c r="I29" s="85"/>
      <c r="J29" s="85"/>
      <c r="K29" s="87"/>
      <c r="L29" s="87"/>
      <c r="M29" s="87"/>
      <c r="N29" s="87"/>
      <c r="O29" s="92"/>
      <c r="P29" s="87"/>
      <c r="Q29" s="87">
        <f t="shared" si="0"/>
        <v>0</v>
      </c>
      <c r="R29" s="87"/>
      <c r="S29" s="87"/>
      <c r="T29" s="92"/>
      <c r="U29" s="87"/>
      <c r="V29" s="85"/>
      <c r="W29" s="85"/>
      <c r="X29" s="85"/>
      <c r="Y29" s="85"/>
      <c r="Z29" s="334"/>
      <c r="AA29" s="335"/>
      <c r="AB29" s="331"/>
      <c r="AC29" s="272"/>
      <c r="AD29" s="78"/>
      <c r="AE29" s="78"/>
      <c r="AF29" s="78"/>
      <c r="AG29" s="78"/>
      <c r="AH29" s="78"/>
      <c r="AI29" s="78"/>
    </row>
    <row r="30" spans="1:35" s="72" customFormat="1" ht="17.25" customHeight="1" x14ac:dyDescent="0.2">
      <c r="A30" s="713"/>
      <c r="B30" s="79"/>
      <c r="C30" s="331"/>
      <c r="D30" s="85"/>
      <c r="E30" s="85"/>
      <c r="F30" s="327"/>
      <c r="G30" s="92"/>
      <c r="H30" s="87"/>
      <c r="I30" s="85"/>
      <c r="J30" s="85"/>
      <c r="K30" s="87"/>
      <c r="L30" s="87"/>
      <c r="M30" s="87"/>
      <c r="N30" s="87"/>
      <c r="O30" s="92"/>
      <c r="P30" s="87"/>
      <c r="Q30" s="87">
        <f t="shared" si="0"/>
        <v>0</v>
      </c>
      <c r="R30" s="174"/>
      <c r="S30" s="87"/>
      <c r="T30" s="92"/>
      <c r="U30" s="87"/>
      <c r="V30" s="85"/>
      <c r="W30" s="85"/>
      <c r="X30" s="85"/>
      <c r="Y30" s="85"/>
      <c r="Z30" s="334"/>
      <c r="AA30" s="269"/>
      <c r="AB30" s="331"/>
      <c r="AC30" s="273"/>
      <c r="AD30" s="78"/>
      <c r="AE30" s="78"/>
      <c r="AF30" s="78"/>
      <c r="AG30" s="78"/>
      <c r="AH30" s="78"/>
      <c r="AI30" s="78"/>
    </row>
    <row r="31" spans="1:35" s="72" customFormat="1" ht="17.25" customHeight="1" x14ac:dyDescent="0.2">
      <c r="A31" s="713"/>
      <c r="B31" s="79"/>
      <c r="C31" s="331"/>
      <c r="D31" s="85"/>
      <c r="E31" s="85"/>
      <c r="F31" s="327"/>
      <c r="G31" s="92"/>
      <c r="H31" s="87"/>
      <c r="I31" s="85"/>
      <c r="J31" s="85"/>
      <c r="K31" s="87"/>
      <c r="L31" s="87"/>
      <c r="M31" s="87"/>
      <c r="N31" s="87"/>
      <c r="O31" s="92"/>
      <c r="P31" s="87"/>
      <c r="Q31" s="87">
        <f t="shared" si="0"/>
        <v>0</v>
      </c>
      <c r="R31" s="174"/>
      <c r="S31" s="87"/>
      <c r="T31" s="92"/>
      <c r="U31" s="87"/>
      <c r="V31" s="85"/>
      <c r="W31" s="85"/>
      <c r="X31" s="85"/>
      <c r="Y31" s="85"/>
      <c r="Z31" s="334"/>
      <c r="AA31" s="269"/>
      <c r="AB31" s="331"/>
      <c r="AC31" s="273"/>
      <c r="AD31" s="78"/>
      <c r="AE31" s="78"/>
      <c r="AF31" s="78"/>
      <c r="AG31" s="78"/>
      <c r="AH31" s="78"/>
      <c r="AI31" s="78"/>
    </row>
    <row r="32" spans="1:35" s="72" customFormat="1" ht="17.25" customHeight="1" x14ac:dyDescent="0.2">
      <c r="A32" s="713"/>
      <c r="B32" s="79"/>
      <c r="C32" s="331"/>
      <c r="D32" s="85"/>
      <c r="E32" s="85"/>
      <c r="F32" s="327"/>
      <c r="G32" s="92"/>
      <c r="H32" s="87"/>
      <c r="I32" s="85"/>
      <c r="J32" s="85"/>
      <c r="K32" s="87"/>
      <c r="L32" s="87"/>
      <c r="M32" s="87"/>
      <c r="N32" s="87"/>
      <c r="O32" s="92"/>
      <c r="P32" s="87"/>
      <c r="Q32" s="87">
        <f t="shared" si="0"/>
        <v>0</v>
      </c>
      <c r="R32" s="174"/>
      <c r="S32" s="87"/>
      <c r="T32" s="92"/>
      <c r="U32" s="87"/>
      <c r="V32" s="85"/>
      <c r="W32" s="85"/>
      <c r="X32" s="85"/>
      <c r="Y32" s="85"/>
      <c r="Z32" s="334"/>
      <c r="AA32" s="269"/>
      <c r="AB32" s="331"/>
      <c r="AC32" s="273"/>
      <c r="AD32" s="78"/>
      <c r="AE32" s="78"/>
      <c r="AF32" s="78"/>
      <c r="AG32" s="78"/>
      <c r="AH32" s="78"/>
      <c r="AI32" s="78"/>
    </row>
    <row r="33" spans="1:38" s="82" customFormat="1" ht="17.25" customHeight="1" x14ac:dyDescent="0.2">
      <c r="A33" s="713"/>
      <c r="B33" s="79"/>
      <c r="C33" s="331"/>
      <c r="D33" s="85"/>
      <c r="E33" s="85"/>
      <c r="F33" s="327"/>
      <c r="G33" s="92"/>
      <c r="H33" s="87"/>
      <c r="I33" s="85"/>
      <c r="J33" s="85"/>
      <c r="K33" s="87"/>
      <c r="L33" s="87"/>
      <c r="M33" s="87"/>
      <c r="N33" s="87"/>
      <c r="O33" s="92"/>
      <c r="P33" s="87"/>
      <c r="Q33" s="87">
        <f t="shared" si="0"/>
        <v>0</v>
      </c>
      <c r="R33" s="174"/>
      <c r="S33" s="87"/>
      <c r="T33" s="92"/>
      <c r="U33" s="87"/>
      <c r="V33" s="85"/>
      <c r="W33" s="85"/>
      <c r="X33" s="85"/>
      <c r="Y33" s="85"/>
      <c r="Z33" s="334"/>
      <c r="AA33" s="269"/>
      <c r="AB33" s="331"/>
      <c r="AC33" s="273"/>
      <c r="AD33" s="81"/>
      <c r="AE33" s="81"/>
      <c r="AF33" s="81"/>
      <c r="AG33" s="81"/>
      <c r="AH33" s="81"/>
      <c r="AI33" s="81"/>
      <c r="AL33" s="72"/>
    </row>
    <row r="34" spans="1:38" s="82" customFormat="1" ht="17.25" customHeight="1" x14ac:dyDescent="0.2">
      <c r="A34" s="713"/>
      <c r="B34" s="79"/>
      <c r="C34" s="331"/>
      <c r="D34" s="85"/>
      <c r="E34" s="85"/>
      <c r="F34" s="327"/>
      <c r="G34" s="92"/>
      <c r="H34" s="87"/>
      <c r="I34" s="85"/>
      <c r="J34" s="85"/>
      <c r="K34" s="87"/>
      <c r="L34" s="87"/>
      <c r="M34" s="87"/>
      <c r="N34" s="87"/>
      <c r="O34" s="92"/>
      <c r="P34" s="87"/>
      <c r="Q34" s="87">
        <f>(N34-O34*N34)+P34</f>
        <v>0</v>
      </c>
      <c r="R34" s="174"/>
      <c r="S34" s="87"/>
      <c r="T34" s="92"/>
      <c r="U34" s="87"/>
      <c r="V34" s="85"/>
      <c r="W34" s="85"/>
      <c r="X34" s="85"/>
      <c r="Y34" s="85"/>
      <c r="Z34" s="334"/>
      <c r="AA34" s="269"/>
      <c r="AB34" s="331"/>
      <c r="AC34" s="273"/>
      <c r="AD34" s="81"/>
      <c r="AE34" s="81"/>
      <c r="AF34" s="81"/>
      <c r="AG34" s="81"/>
      <c r="AH34" s="81"/>
      <c r="AI34" s="81"/>
      <c r="AL34" s="72"/>
    </row>
    <row r="35" spans="1:38" s="72" customFormat="1" ht="17.25" customHeight="1" x14ac:dyDescent="0.2">
      <c r="A35" s="704" t="s">
        <v>214</v>
      </c>
      <c r="B35" s="705"/>
      <c r="C35" s="706">
        <v>0</v>
      </c>
      <c r="D35" s="707"/>
      <c r="E35" s="707"/>
      <c r="F35" s="708"/>
      <c r="G35" s="707"/>
      <c r="H35" s="707"/>
      <c r="I35" s="707"/>
      <c r="J35" s="707"/>
      <c r="K35" s="707"/>
      <c r="L35" s="707"/>
      <c r="M35" s="707"/>
      <c r="N35" s="707"/>
      <c r="O35" s="707"/>
      <c r="P35" s="707"/>
      <c r="Q35" s="707"/>
      <c r="R35" s="703"/>
      <c r="S35" s="707"/>
      <c r="T35" s="707"/>
      <c r="U35" s="707"/>
      <c r="V35" s="707"/>
      <c r="W35" s="709"/>
      <c r="X35" s="709"/>
      <c r="Y35" s="709"/>
      <c r="Z35" s="710"/>
      <c r="AA35" s="710"/>
      <c r="AB35" s="706"/>
      <c r="AC35" s="711"/>
      <c r="AD35" s="73"/>
      <c r="AE35" s="73"/>
      <c r="AF35" s="73"/>
      <c r="AG35" s="73"/>
      <c r="AH35" s="73"/>
      <c r="AI35" s="73"/>
      <c r="AJ35" s="73"/>
    </row>
    <row r="36" spans="1:38" s="82" customFormat="1" ht="17.25" customHeight="1" x14ac:dyDescent="0.2">
      <c r="A36" s="713"/>
      <c r="B36" s="79" t="str">
        <f>Eigenmischungen!AC2</f>
        <v>K1</v>
      </c>
      <c r="C36" s="331">
        <f>ROUND(Eigenmischungen!AC27*10,-1)</f>
        <v>0</v>
      </c>
      <c r="D36" s="85" t="e">
        <f>ROUND(Eigenmischungen!AC28,1)</f>
        <v>#VALUE!</v>
      </c>
      <c r="E36" s="85" t="e">
        <f>ROUND(Eigenmischungen!AC29,1)</f>
        <v>#VALUE!</v>
      </c>
      <c r="F36" s="327" t="e">
        <f>ROUND(Eigenmischungen!AC30,0)</f>
        <v>#VALUE!</v>
      </c>
      <c r="G36" s="92" t="e">
        <f>ROUND(Eigenmischungen!AC31,2)</f>
        <v>#VALUE!</v>
      </c>
      <c r="H36" s="87" t="e">
        <f>ROUND(Eigenmischungen!AC32,0)</f>
        <v>#VALUE!</v>
      </c>
      <c r="I36" s="85" t="e">
        <f>ROUND(Eigenmischungen!AC33,1)</f>
        <v>#VALUE!</v>
      </c>
      <c r="J36" s="85"/>
      <c r="K36" s="87" t="e">
        <f>ROUND(Eigenmischungen!AC35,0)</f>
        <v>#VALUE!</v>
      </c>
      <c r="L36" s="87" t="e">
        <f>ROUND(Eigenmischungen!AC36,0)</f>
        <v>#VALUE!</v>
      </c>
      <c r="M36" s="87" t="e">
        <f>ROUND(Eigenmischungen!AC37,0)</f>
        <v>#VALUE!</v>
      </c>
      <c r="N36" s="87" t="e">
        <f>ROUND(Eigenmischungen!AC38,0)</f>
        <v>#DIV/0!</v>
      </c>
      <c r="O36" s="714" t="e">
        <f>ROUND(Eigenmischungen!AC39,0)/100</f>
        <v>#VALUE!</v>
      </c>
      <c r="P36" s="87" t="e">
        <f>ROUND(Eigenmischungen!AC40,0)</f>
        <v>#DIV/0!</v>
      </c>
      <c r="Q36" s="87" t="e">
        <f>ROUND(Eigenmischungen!AC41,0)</f>
        <v>#DIV/0!</v>
      </c>
      <c r="R36" s="87" t="e">
        <f>ROUND(Eigenmischungen!AC42,0)</f>
        <v>#DIV/0!</v>
      </c>
      <c r="S36" s="87"/>
      <c r="T36" s="87"/>
      <c r="U36" s="87" t="e">
        <f>ROUND(Eigenmischungen!AC45,0)</f>
        <v>#VALUE!</v>
      </c>
      <c r="V36" s="85" t="e">
        <f>ROUND(Eigenmischungen!AC46,1)</f>
        <v>#DIV/0!</v>
      </c>
      <c r="W36" s="85" t="e">
        <f>ROUND(Eigenmischungen!AC47,1)</f>
        <v>#DIV/0!</v>
      </c>
      <c r="X36" s="85" t="e">
        <f>ROUND(Eigenmischungen!AC48,1)</f>
        <v>#DIV/0!</v>
      </c>
      <c r="Y36" s="85" t="e">
        <f>ROUND(Eigenmischungen!AC49,1)</f>
        <v>#DIV/0!</v>
      </c>
      <c r="Z36" s="85" t="e">
        <f>ROUND(Eigenmischungen!AC50,1)</f>
        <v>#DIV/0!</v>
      </c>
      <c r="AA36" s="87" t="e">
        <f>ROUND(Eigenmischungen!AC51,0)</f>
        <v>#DIV/0!</v>
      </c>
      <c r="AB36" s="87" t="e">
        <f>ROUND(Eigenmischungen!AC52,0)</f>
        <v>#DIV/0!</v>
      </c>
      <c r="AC36" s="715">
        <f>ROUND(Eigenmischungen!AC26,1)</f>
        <v>0</v>
      </c>
      <c r="AD36" s="86" t="e">
        <f>ROUND(Eigenmischungen!AF47,1)</f>
        <v>#DIV/0!</v>
      </c>
      <c r="AE36" s="86" t="e">
        <f>ROUND(Eigenmischungen!AG47,1)</f>
        <v>#DIV/0!</v>
      </c>
      <c r="AF36" s="86" t="e">
        <f>ROUND(Eigenmischungen!AH47,1)</f>
        <v>#DIV/0!</v>
      </c>
      <c r="AG36" s="86" t="e">
        <f>ROUND(Eigenmischungen!AI47,1)</f>
        <v>#DIV/0!</v>
      </c>
      <c r="AH36" s="86" t="e">
        <f>ROUND(Eigenmischungen!AJ47,1)</f>
        <v>#DIV/0!</v>
      </c>
      <c r="AI36" s="86" t="e">
        <f>ROUND(Eigenmischungen!AK47,1)</f>
        <v>#DIV/0!</v>
      </c>
      <c r="AJ36" s="86">
        <f>ROUND(Eigenmischungen!AL47,1)</f>
        <v>0</v>
      </c>
      <c r="AK36" s="86"/>
      <c r="AL36" s="72"/>
    </row>
    <row r="37" spans="1:38" s="82" customFormat="1" ht="17.25" customHeight="1" x14ac:dyDescent="0.2">
      <c r="A37" s="713"/>
      <c r="B37" s="79" t="str">
        <f>Eigenmischungen!AD2</f>
        <v>K2</v>
      </c>
      <c r="C37" s="331">
        <f>ROUND(Eigenmischungen!AD27*10,-1)</f>
        <v>0</v>
      </c>
      <c r="D37" s="85" t="e">
        <f>ROUND(Eigenmischungen!AD28,1)</f>
        <v>#VALUE!</v>
      </c>
      <c r="E37" s="85" t="e">
        <f>ROUND(Eigenmischungen!AD29,1)</f>
        <v>#VALUE!</v>
      </c>
      <c r="F37" s="327" t="e">
        <f>ROUND(Eigenmischungen!AD30,0)</f>
        <v>#VALUE!</v>
      </c>
      <c r="G37" s="92" t="e">
        <f>ROUND(Eigenmischungen!AD31,2)</f>
        <v>#VALUE!</v>
      </c>
      <c r="H37" s="87" t="e">
        <f>ROUND(Eigenmischungen!AD32,0)</f>
        <v>#VALUE!</v>
      </c>
      <c r="I37" s="85" t="e">
        <f>ROUND(Eigenmischungen!AD33,1)</f>
        <v>#VALUE!</v>
      </c>
      <c r="J37" s="85"/>
      <c r="K37" s="87" t="e">
        <f>ROUND(Eigenmischungen!AD35,0)</f>
        <v>#VALUE!</v>
      </c>
      <c r="L37" s="87" t="e">
        <f>ROUND(Eigenmischungen!AD36,0)</f>
        <v>#VALUE!</v>
      </c>
      <c r="M37" s="87" t="e">
        <f>ROUND(Eigenmischungen!AD37,0)</f>
        <v>#VALUE!</v>
      </c>
      <c r="N37" s="87" t="e">
        <f>ROUND(Eigenmischungen!AD38,0)</f>
        <v>#DIV/0!</v>
      </c>
      <c r="O37" s="714" t="e">
        <f>ROUND(Eigenmischungen!AD39,0)/100</f>
        <v>#VALUE!</v>
      </c>
      <c r="P37" s="87" t="e">
        <f>ROUND(Eigenmischungen!AD40,0)</f>
        <v>#DIV/0!</v>
      </c>
      <c r="Q37" s="87" t="e">
        <f>ROUND(Eigenmischungen!AD41,0)</f>
        <v>#DIV/0!</v>
      </c>
      <c r="R37" s="87" t="e">
        <f>ROUND(Eigenmischungen!AD42,0)</f>
        <v>#DIV/0!</v>
      </c>
      <c r="S37" s="87"/>
      <c r="T37" s="87"/>
      <c r="U37" s="87" t="e">
        <f>ROUND(Eigenmischungen!AD45,0)</f>
        <v>#VALUE!</v>
      </c>
      <c r="V37" s="85" t="e">
        <f>ROUND(Eigenmischungen!AD46,1)</f>
        <v>#DIV/0!</v>
      </c>
      <c r="W37" s="85" t="e">
        <f>ROUND(Eigenmischungen!AD47,1)</f>
        <v>#DIV/0!</v>
      </c>
      <c r="X37" s="85" t="e">
        <f>ROUND(Eigenmischungen!AD48,1)</f>
        <v>#DIV/0!</v>
      </c>
      <c r="Y37" s="85" t="e">
        <f>ROUND(Eigenmischungen!AD49,1)</f>
        <v>#DIV/0!</v>
      </c>
      <c r="Z37" s="715" t="e">
        <f>ROUND(Eigenmischungen!AD50,1)</f>
        <v>#DIV/0!</v>
      </c>
      <c r="AA37" s="715" t="e">
        <f>ROUND(Eigenmischungen!AD51,1)</f>
        <v>#DIV/0!</v>
      </c>
      <c r="AB37" s="715" t="e">
        <f>ROUND(Eigenmischungen!AD52,1)</f>
        <v>#DIV/0!</v>
      </c>
      <c r="AC37" s="715">
        <f>ROUND(Eigenmischungen!AD26,1)</f>
        <v>0</v>
      </c>
      <c r="AD37" s="86" t="e">
        <f>ROUND(Eigenmischungen!AG47,1)</f>
        <v>#DIV/0!</v>
      </c>
      <c r="AE37" s="86" t="e">
        <f>ROUND(Eigenmischungen!AH47,1)</f>
        <v>#DIV/0!</v>
      </c>
      <c r="AF37" s="86" t="e">
        <f>ROUND(Eigenmischungen!AI47,1)</f>
        <v>#DIV/0!</v>
      </c>
      <c r="AG37" s="86" t="e">
        <f>ROUND(Eigenmischungen!AJ47,1)</f>
        <v>#DIV/0!</v>
      </c>
      <c r="AH37" s="86" t="e">
        <f>ROUND(Eigenmischungen!AK47,1)</f>
        <v>#DIV/0!</v>
      </c>
      <c r="AI37" s="86">
        <f>ROUND(Eigenmischungen!AL47,1)</f>
        <v>0</v>
      </c>
      <c r="AJ37" s="86">
        <f>ROUND(Eigenmischungen!AM47,1)</f>
        <v>0</v>
      </c>
      <c r="AK37" s="86"/>
      <c r="AL37" s="72"/>
    </row>
    <row r="38" spans="1:38" s="82" customFormat="1" ht="17.25" customHeight="1" x14ac:dyDescent="0.2">
      <c r="A38" s="713"/>
      <c r="B38" s="79" t="str">
        <f>Eigenmischungen!AE2</f>
        <v>K3</v>
      </c>
      <c r="C38" s="331">
        <f>ROUND(Eigenmischungen!AE27*10,-1)</f>
        <v>0</v>
      </c>
      <c r="D38" s="85" t="e">
        <f>ROUND(Eigenmischungen!AE28,1)</f>
        <v>#VALUE!</v>
      </c>
      <c r="E38" s="85" t="e">
        <f>ROUND(Eigenmischungen!AE29,1)</f>
        <v>#VALUE!</v>
      </c>
      <c r="F38" s="327" t="e">
        <f>ROUND(Eigenmischungen!AE30,0)</f>
        <v>#VALUE!</v>
      </c>
      <c r="G38" s="92" t="e">
        <f>ROUND(Eigenmischungen!AE31,2)</f>
        <v>#VALUE!</v>
      </c>
      <c r="H38" s="87" t="e">
        <f>ROUND(Eigenmischungen!AE32,0)</f>
        <v>#VALUE!</v>
      </c>
      <c r="I38" s="85" t="e">
        <f>ROUND(Eigenmischungen!AE33,1)</f>
        <v>#VALUE!</v>
      </c>
      <c r="J38" s="85"/>
      <c r="K38" s="87" t="e">
        <f>ROUND(Eigenmischungen!AE35,0)</f>
        <v>#VALUE!</v>
      </c>
      <c r="L38" s="87" t="e">
        <f>ROUND(Eigenmischungen!AE36,0)</f>
        <v>#VALUE!</v>
      </c>
      <c r="M38" s="87" t="e">
        <f>ROUND(Eigenmischungen!AE37,0)</f>
        <v>#VALUE!</v>
      </c>
      <c r="N38" s="87" t="e">
        <f>ROUND(Eigenmischungen!AE38,0)</f>
        <v>#DIV/0!</v>
      </c>
      <c r="O38" s="714" t="e">
        <f>ROUND(Eigenmischungen!AE39,0)/100</f>
        <v>#VALUE!</v>
      </c>
      <c r="P38" s="87" t="e">
        <f>ROUND(Eigenmischungen!AE40,0)</f>
        <v>#DIV/0!</v>
      </c>
      <c r="Q38" s="87" t="e">
        <f>ROUND(Eigenmischungen!AE41,0)</f>
        <v>#DIV/0!</v>
      </c>
      <c r="R38" s="87" t="e">
        <f>ROUND(Eigenmischungen!AE42,0)</f>
        <v>#DIV/0!</v>
      </c>
      <c r="S38" s="87"/>
      <c r="T38" s="87"/>
      <c r="U38" s="87" t="e">
        <f>ROUND(Eigenmischungen!AE45,0)</f>
        <v>#VALUE!</v>
      </c>
      <c r="V38" s="85" t="e">
        <f>ROUND(Eigenmischungen!AE46,1)</f>
        <v>#DIV/0!</v>
      </c>
      <c r="W38" s="85" t="e">
        <f>ROUND(Eigenmischungen!AE47,1)</f>
        <v>#DIV/0!</v>
      </c>
      <c r="X38" s="85" t="e">
        <f>ROUND(Eigenmischungen!AE48,1)</f>
        <v>#DIV/0!</v>
      </c>
      <c r="Y38" s="85" t="e">
        <f>ROUND(Eigenmischungen!AE49,1)</f>
        <v>#DIV/0!</v>
      </c>
      <c r="Z38" s="715" t="e">
        <f>ROUND(Eigenmischungen!AE50,1)</f>
        <v>#DIV/0!</v>
      </c>
      <c r="AA38" s="715" t="e">
        <f>ROUND(Eigenmischungen!AE51,1)</f>
        <v>#DIV/0!</v>
      </c>
      <c r="AB38" s="715" t="e">
        <f>ROUND(Eigenmischungen!AE52,1)</f>
        <v>#DIV/0!</v>
      </c>
      <c r="AC38" s="715">
        <f>ROUND(Eigenmischungen!AE26,1)</f>
        <v>0</v>
      </c>
      <c r="AD38" s="86" t="e">
        <f>ROUND(Eigenmischungen!AH47,1)</f>
        <v>#DIV/0!</v>
      </c>
      <c r="AE38" s="86" t="e">
        <f>ROUND(Eigenmischungen!AI47,1)</f>
        <v>#DIV/0!</v>
      </c>
      <c r="AF38" s="86" t="e">
        <f>ROUND(Eigenmischungen!AJ47,1)</f>
        <v>#DIV/0!</v>
      </c>
      <c r="AG38" s="86" t="e">
        <f>ROUND(Eigenmischungen!AK47,1)</f>
        <v>#DIV/0!</v>
      </c>
      <c r="AH38" s="86">
        <f>ROUND(Eigenmischungen!AL47,1)</f>
        <v>0</v>
      </c>
      <c r="AI38" s="86">
        <f>ROUND(Eigenmischungen!AM47,1)</f>
        <v>0</v>
      </c>
      <c r="AJ38" s="86">
        <f>ROUND(Eigenmischungen!AN47,1)</f>
        <v>0</v>
      </c>
      <c r="AK38" s="86"/>
      <c r="AL38" s="72"/>
    </row>
    <row r="39" spans="1:38" s="82" customFormat="1" ht="17.25" customHeight="1" x14ac:dyDescent="0.2">
      <c r="A39" s="713"/>
      <c r="B39" s="79" t="str">
        <f>Eigenmischungen!AF2</f>
        <v>K4</v>
      </c>
      <c r="C39" s="331">
        <f>ROUND(Eigenmischungen!AF27*10,-1)</f>
        <v>0</v>
      </c>
      <c r="D39" s="85" t="e">
        <f>ROUND(Eigenmischungen!AF28,1)</f>
        <v>#VALUE!</v>
      </c>
      <c r="E39" s="85" t="e">
        <f>ROUND(Eigenmischungen!AF29,1)</f>
        <v>#VALUE!</v>
      </c>
      <c r="F39" s="327" t="e">
        <f>ROUND(Eigenmischungen!AF30,0)</f>
        <v>#VALUE!</v>
      </c>
      <c r="G39" s="92" t="e">
        <f>ROUND(Eigenmischungen!AF31,2)</f>
        <v>#VALUE!</v>
      </c>
      <c r="H39" s="87" t="e">
        <f>ROUND(Eigenmischungen!AF32,0)</f>
        <v>#VALUE!</v>
      </c>
      <c r="I39" s="85" t="e">
        <f>ROUND(Eigenmischungen!AF33,1)</f>
        <v>#VALUE!</v>
      </c>
      <c r="J39" s="85"/>
      <c r="K39" s="87" t="e">
        <f>ROUND(Eigenmischungen!AF35,0)</f>
        <v>#VALUE!</v>
      </c>
      <c r="L39" s="87" t="e">
        <f>ROUND(Eigenmischungen!AF36,0)</f>
        <v>#VALUE!</v>
      </c>
      <c r="M39" s="87" t="e">
        <f>ROUND(Eigenmischungen!AF37,0)</f>
        <v>#VALUE!</v>
      </c>
      <c r="N39" s="87" t="e">
        <f>ROUND(Eigenmischungen!AF38,0)</f>
        <v>#DIV/0!</v>
      </c>
      <c r="O39" s="714" t="e">
        <f>ROUND(Eigenmischungen!AF39,0)/100</f>
        <v>#VALUE!</v>
      </c>
      <c r="P39" s="87" t="e">
        <f>ROUND(Eigenmischungen!AF40,0)</f>
        <v>#DIV/0!</v>
      </c>
      <c r="Q39" s="87" t="e">
        <f>ROUND(Eigenmischungen!AF41,0)</f>
        <v>#DIV/0!</v>
      </c>
      <c r="R39" s="87" t="e">
        <f>ROUND(Eigenmischungen!AF42,0)</f>
        <v>#DIV/0!</v>
      </c>
      <c r="S39" s="87"/>
      <c r="T39" s="87"/>
      <c r="U39" s="87" t="e">
        <f>ROUND(Eigenmischungen!AF45,0)</f>
        <v>#VALUE!</v>
      </c>
      <c r="V39" s="85" t="e">
        <f>ROUND(Eigenmischungen!AF46,1)</f>
        <v>#DIV/0!</v>
      </c>
      <c r="W39" s="85" t="e">
        <f>ROUND(Eigenmischungen!AF47,1)</f>
        <v>#DIV/0!</v>
      </c>
      <c r="X39" s="85" t="e">
        <f>ROUND(Eigenmischungen!AF48,1)</f>
        <v>#DIV/0!</v>
      </c>
      <c r="Y39" s="85" t="e">
        <f>ROUND(Eigenmischungen!AF49,1)</f>
        <v>#DIV/0!</v>
      </c>
      <c r="Z39" s="715" t="e">
        <f>ROUND(Eigenmischungen!AF50,1)</f>
        <v>#DIV/0!</v>
      </c>
      <c r="AA39" s="715">
        <f>ROUND(Eigenmischungen!AF519,1)</f>
        <v>0</v>
      </c>
      <c r="AB39" s="715" t="e">
        <f>ROUND(Eigenmischungen!AF52,1)</f>
        <v>#DIV/0!</v>
      </c>
      <c r="AC39" s="715">
        <f>ROUND(Eigenmischungen!AF26,1)</f>
        <v>0</v>
      </c>
      <c r="AD39" s="86" t="e">
        <f>ROUND(Eigenmischungen!AI47,1)</f>
        <v>#DIV/0!</v>
      </c>
      <c r="AE39" s="86" t="e">
        <f>ROUND(Eigenmischungen!AJ47,1)</f>
        <v>#DIV/0!</v>
      </c>
      <c r="AF39" s="86" t="e">
        <f>ROUND(Eigenmischungen!AK47,1)</f>
        <v>#DIV/0!</v>
      </c>
      <c r="AG39" s="86">
        <f>ROUND(Eigenmischungen!AL47,1)</f>
        <v>0</v>
      </c>
      <c r="AH39" s="86">
        <f>ROUND(Eigenmischungen!AM47,1)</f>
        <v>0</v>
      </c>
      <c r="AI39" s="86">
        <f>ROUND(Eigenmischungen!AN47,1)</f>
        <v>0</v>
      </c>
      <c r="AJ39" s="86">
        <f>ROUND(Eigenmischungen!AO47,1)</f>
        <v>0</v>
      </c>
      <c r="AK39" s="86"/>
      <c r="AL39" s="72"/>
    </row>
    <row r="40" spans="1:38" s="82" customFormat="1" ht="17.25" customHeight="1" x14ac:dyDescent="0.2">
      <c r="A40" s="713"/>
      <c r="B40" s="79" t="str">
        <f>Eigenmischungen!AG2</f>
        <v>K5</v>
      </c>
      <c r="C40" s="331">
        <f>ROUND(Eigenmischungen!AG27*10,-1)</f>
        <v>0</v>
      </c>
      <c r="D40" s="85" t="e">
        <f>ROUND(Eigenmischungen!AG28,1)</f>
        <v>#VALUE!</v>
      </c>
      <c r="E40" s="85" t="e">
        <f>ROUND(Eigenmischungen!AG29,1)</f>
        <v>#VALUE!</v>
      </c>
      <c r="F40" s="327" t="e">
        <f>ROUND(Eigenmischungen!AG30,0)</f>
        <v>#VALUE!</v>
      </c>
      <c r="G40" s="92" t="e">
        <f>ROUND(Eigenmischungen!AG31,2)</f>
        <v>#VALUE!</v>
      </c>
      <c r="H40" s="87" t="e">
        <f>ROUND(Eigenmischungen!AG32,0)</f>
        <v>#VALUE!</v>
      </c>
      <c r="I40" s="85" t="e">
        <f>ROUND(Eigenmischungen!AG33,1)</f>
        <v>#VALUE!</v>
      </c>
      <c r="J40" s="85"/>
      <c r="K40" s="87" t="e">
        <f>ROUND(Eigenmischungen!AG35,0)</f>
        <v>#VALUE!</v>
      </c>
      <c r="L40" s="87" t="e">
        <f>ROUND(Eigenmischungen!AG36,0)</f>
        <v>#VALUE!</v>
      </c>
      <c r="M40" s="87" t="e">
        <f>ROUND(Eigenmischungen!AG37,0)</f>
        <v>#VALUE!</v>
      </c>
      <c r="N40" s="87" t="e">
        <f>ROUND(Eigenmischungen!AG38,0)</f>
        <v>#DIV/0!</v>
      </c>
      <c r="O40" s="714" t="e">
        <f>ROUND(Eigenmischungen!AG39,0)/100</f>
        <v>#VALUE!</v>
      </c>
      <c r="P40" s="87" t="e">
        <f>ROUND(Eigenmischungen!AG40,0)</f>
        <v>#DIV/0!</v>
      </c>
      <c r="Q40" s="87" t="e">
        <f>ROUND(Eigenmischungen!AG41,0)</f>
        <v>#DIV/0!</v>
      </c>
      <c r="R40" s="87" t="e">
        <f>ROUND(Eigenmischungen!AG42,0)</f>
        <v>#DIV/0!</v>
      </c>
      <c r="S40" s="87"/>
      <c r="T40" s="87"/>
      <c r="U40" s="87" t="e">
        <f>ROUND(Eigenmischungen!AG45,0)</f>
        <v>#VALUE!</v>
      </c>
      <c r="V40" s="85" t="e">
        <f>ROUND(Eigenmischungen!AG46,1)</f>
        <v>#DIV/0!</v>
      </c>
      <c r="W40" s="85" t="e">
        <f>ROUND(Eigenmischungen!AG47,1)</f>
        <v>#DIV/0!</v>
      </c>
      <c r="X40" s="85" t="e">
        <f>ROUND(Eigenmischungen!AG48,1)</f>
        <v>#DIV/0!</v>
      </c>
      <c r="Y40" s="85" t="e">
        <f>ROUND(Eigenmischungen!AG49,1)</f>
        <v>#DIV/0!</v>
      </c>
      <c r="Z40" s="715" t="e">
        <f>ROUND(Eigenmischungen!AG50,1)</f>
        <v>#DIV/0!</v>
      </c>
      <c r="AA40" s="715" t="e">
        <f>ROUND(Eigenmischungen!AG51,1)</f>
        <v>#DIV/0!</v>
      </c>
      <c r="AB40" s="715" t="e">
        <f>ROUND(Eigenmischungen!AG52,1)</f>
        <v>#DIV/0!</v>
      </c>
      <c r="AC40" s="715">
        <f>ROUND(Eigenmischungen!AG26,1)</f>
        <v>0</v>
      </c>
      <c r="AD40" s="86" t="e">
        <f>ROUND(Eigenmischungen!AJ47,1)</f>
        <v>#DIV/0!</v>
      </c>
      <c r="AE40" s="86" t="e">
        <f>ROUND(Eigenmischungen!AK47,1)</f>
        <v>#DIV/0!</v>
      </c>
      <c r="AF40" s="86">
        <f>ROUND(Eigenmischungen!AL47,1)</f>
        <v>0</v>
      </c>
      <c r="AG40" s="86">
        <f>ROUND(Eigenmischungen!AM47,1)</f>
        <v>0</v>
      </c>
      <c r="AH40" s="86">
        <f>ROUND(Eigenmischungen!AN47,1)</f>
        <v>0</v>
      </c>
      <c r="AI40" s="86">
        <f>ROUND(Eigenmischungen!AO47,1)</f>
        <v>0</v>
      </c>
      <c r="AJ40" s="86">
        <f>ROUND(Eigenmischungen!AP47,1)</f>
        <v>0</v>
      </c>
      <c r="AK40" s="86"/>
      <c r="AL40" s="72"/>
    </row>
    <row r="41" spans="1:38" s="82" customFormat="1" ht="17.25" customHeight="1" x14ac:dyDescent="0.2">
      <c r="A41" s="713"/>
      <c r="B41" s="79" t="str">
        <f>Eigenmischungen!AH2</f>
        <v>K6</v>
      </c>
      <c r="C41" s="331">
        <f>ROUND(Eigenmischungen!AH27*10,-1)</f>
        <v>0</v>
      </c>
      <c r="D41" s="85" t="e">
        <f>ROUND(Eigenmischungen!AH28,1)</f>
        <v>#VALUE!</v>
      </c>
      <c r="E41" s="85" t="e">
        <f>ROUND(Eigenmischungen!AH29,1)</f>
        <v>#VALUE!</v>
      </c>
      <c r="F41" s="327" t="e">
        <f>ROUND(Eigenmischungen!AH30,0)</f>
        <v>#VALUE!</v>
      </c>
      <c r="G41" s="92" t="e">
        <f>ROUND(Eigenmischungen!AH31,2)</f>
        <v>#VALUE!</v>
      </c>
      <c r="H41" s="87" t="e">
        <f>ROUND(Eigenmischungen!AH32,0)</f>
        <v>#VALUE!</v>
      </c>
      <c r="I41" s="85" t="e">
        <f>ROUND(Eigenmischungen!AH33,1)</f>
        <v>#VALUE!</v>
      </c>
      <c r="J41" s="85"/>
      <c r="K41" s="87" t="e">
        <f>ROUND(Eigenmischungen!AH35,0)</f>
        <v>#VALUE!</v>
      </c>
      <c r="L41" s="87" t="e">
        <f>ROUND(Eigenmischungen!AH36,0)</f>
        <v>#VALUE!</v>
      </c>
      <c r="M41" s="87" t="e">
        <f>ROUND(Eigenmischungen!AH37,0)</f>
        <v>#VALUE!</v>
      </c>
      <c r="N41" s="87" t="e">
        <f>ROUND(Eigenmischungen!AH38,0)</f>
        <v>#DIV/0!</v>
      </c>
      <c r="O41" s="714" t="e">
        <f>ROUND(Eigenmischungen!AH39,0)/100</f>
        <v>#VALUE!</v>
      </c>
      <c r="P41" s="87" t="e">
        <f>ROUND(Eigenmischungen!AH40,0)</f>
        <v>#DIV/0!</v>
      </c>
      <c r="Q41" s="87" t="e">
        <f>ROUND(Eigenmischungen!AH41,0)</f>
        <v>#DIV/0!</v>
      </c>
      <c r="R41" s="87" t="e">
        <f>ROUND(Eigenmischungen!AH42,0)</f>
        <v>#DIV/0!</v>
      </c>
      <c r="S41" s="87"/>
      <c r="T41" s="87"/>
      <c r="U41" s="87" t="e">
        <f>ROUND(Eigenmischungen!AH45,0)</f>
        <v>#VALUE!</v>
      </c>
      <c r="V41" s="85" t="e">
        <f>ROUND(Eigenmischungen!AH46,1)</f>
        <v>#DIV/0!</v>
      </c>
      <c r="W41" s="85" t="e">
        <f>ROUND(Eigenmischungen!AH47,1)</f>
        <v>#DIV/0!</v>
      </c>
      <c r="X41" s="85" t="e">
        <f>ROUND(Eigenmischungen!AH48,1)</f>
        <v>#DIV/0!</v>
      </c>
      <c r="Y41" s="85" t="e">
        <f>ROUND(Eigenmischungen!AH49,1)</f>
        <v>#DIV/0!</v>
      </c>
      <c r="Z41" s="715" t="e">
        <f>ROUND(Eigenmischungen!AH50,1)</f>
        <v>#DIV/0!</v>
      </c>
      <c r="AA41" s="715" t="e">
        <f>ROUND(Eigenmischungen!AH51,1)</f>
        <v>#DIV/0!</v>
      </c>
      <c r="AB41" s="715" t="e">
        <f>ROUND(Eigenmischungen!AH52,1)</f>
        <v>#DIV/0!</v>
      </c>
      <c r="AC41" s="715">
        <f>ROUND(Eigenmischungen!AH26,1)</f>
        <v>0</v>
      </c>
      <c r="AD41" s="86" t="e">
        <f>ROUND(Eigenmischungen!AK47,1)</f>
        <v>#DIV/0!</v>
      </c>
      <c r="AE41" s="86">
        <f>ROUND(Eigenmischungen!AL47,1)</f>
        <v>0</v>
      </c>
      <c r="AF41" s="86">
        <f>ROUND(Eigenmischungen!AM47,1)</f>
        <v>0</v>
      </c>
      <c r="AG41" s="86">
        <f>ROUND(Eigenmischungen!AN47,1)</f>
        <v>0</v>
      </c>
      <c r="AH41" s="86">
        <f>ROUND(Eigenmischungen!AO47,1)</f>
        <v>0</v>
      </c>
      <c r="AI41" s="86">
        <f>ROUND(Eigenmischungen!AP47,1)</f>
        <v>0</v>
      </c>
      <c r="AJ41" s="86">
        <f>ROUND(Eigenmischungen!AQ47,1)</f>
        <v>0</v>
      </c>
      <c r="AK41" s="86"/>
      <c r="AL41" s="72"/>
    </row>
    <row r="42" spans="1:38" s="82" customFormat="1" ht="17.25" customHeight="1" x14ac:dyDescent="0.2">
      <c r="A42" s="713"/>
      <c r="B42" s="79" t="str">
        <f>Eigenmischungen!AI2</f>
        <v>K7</v>
      </c>
      <c r="C42" s="331">
        <f>ROUND(Eigenmischungen!AI27*10,-1)</f>
        <v>0</v>
      </c>
      <c r="D42" s="85" t="e">
        <f>ROUND(Eigenmischungen!AI28,1)</f>
        <v>#VALUE!</v>
      </c>
      <c r="E42" s="85" t="e">
        <f>ROUND(Eigenmischungen!AI29,1)</f>
        <v>#VALUE!</v>
      </c>
      <c r="F42" s="327" t="e">
        <f>ROUND(Eigenmischungen!AI30,0)</f>
        <v>#VALUE!</v>
      </c>
      <c r="G42" s="92" t="e">
        <f>ROUND(Eigenmischungen!AI31,2)</f>
        <v>#VALUE!</v>
      </c>
      <c r="H42" s="87" t="e">
        <f>ROUND(Eigenmischungen!AI32,0)</f>
        <v>#VALUE!</v>
      </c>
      <c r="I42" s="85" t="e">
        <f>ROUND(Eigenmischungen!AI33,1)</f>
        <v>#VALUE!</v>
      </c>
      <c r="J42" s="85"/>
      <c r="K42" s="87" t="e">
        <f>ROUND(Eigenmischungen!AI35,0)</f>
        <v>#VALUE!</v>
      </c>
      <c r="L42" s="87" t="e">
        <f>ROUND(Eigenmischungen!AI36,0)</f>
        <v>#VALUE!</v>
      </c>
      <c r="M42" s="87" t="e">
        <f>ROUND(Eigenmischungen!AI37,0)</f>
        <v>#VALUE!</v>
      </c>
      <c r="N42" s="87" t="e">
        <f>ROUND(Eigenmischungen!AI38,0)</f>
        <v>#DIV/0!</v>
      </c>
      <c r="O42" s="714" t="e">
        <f>ROUND(Eigenmischungen!AI39,0)/100</f>
        <v>#VALUE!</v>
      </c>
      <c r="P42" s="87" t="e">
        <f>ROUND(Eigenmischungen!AI40,0)</f>
        <v>#DIV/0!</v>
      </c>
      <c r="Q42" s="87" t="e">
        <f>ROUND(Eigenmischungen!AI41,0)</f>
        <v>#DIV/0!</v>
      </c>
      <c r="R42" s="87" t="e">
        <f>ROUND(Eigenmischungen!AI42,0)</f>
        <v>#DIV/0!</v>
      </c>
      <c r="S42" s="87"/>
      <c r="T42" s="87"/>
      <c r="U42" s="87" t="e">
        <f>ROUND(Eigenmischungen!AI45,0)</f>
        <v>#VALUE!</v>
      </c>
      <c r="V42" s="85" t="e">
        <f>ROUND(Eigenmischungen!AI46,1)</f>
        <v>#DIV/0!</v>
      </c>
      <c r="W42" s="85" t="e">
        <f>ROUND(Eigenmischungen!AI47,1)</f>
        <v>#DIV/0!</v>
      </c>
      <c r="X42" s="85" t="e">
        <f>ROUND(Eigenmischungen!AI48,1)</f>
        <v>#DIV/0!</v>
      </c>
      <c r="Y42" s="85" t="e">
        <f>ROUND(Eigenmischungen!AI49,1)</f>
        <v>#DIV/0!</v>
      </c>
      <c r="Z42" s="715" t="e">
        <f>ROUND(Eigenmischungen!AI50,1)</f>
        <v>#DIV/0!</v>
      </c>
      <c r="AA42" s="715" t="e">
        <f>ROUND(Eigenmischungen!AI51,1)</f>
        <v>#DIV/0!</v>
      </c>
      <c r="AB42" s="715" t="e">
        <f>ROUND(Eigenmischungen!AI52,1)</f>
        <v>#DIV/0!</v>
      </c>
      <c r="AC42" s="715">
        <f>ROUND(Eigenmischungen!AI26,1)</f>
        <v>0</v>
      </c>
      <c r="AD42" s="86">
        <f>ROUND(Eigenmischungen!AL47,1)</f>
        <v>0</v>
      </c>
      <c r="AE42" s="86">
        <f>ROUND(Eigenmischungen!AM47,1)</f>
        <v>0</v>
      </c>
      <c r="AF42" s="86">
        <f>ROUND(Eigenmischungen!AN47,1)</f>
        <v>0</v>
      </c>
      <c r="AG42" s="86">
        <f>ROUND(Eigenmischungen!AO47,1)</f>
        <v>0</v>
      </c>
      <c r="AH42" s="86">
        <f>ROUND(Eigenmischungen!AP47,1)</f>
        <v>0</v>
      </c>
      <c r="AI42" s="86">
        <f>ROUND(Eigenmischungen!AQ47,1)</f>
        <v>0</v>
      </c>
      <c r="AJ42" s="86">
        <f>ROUND(Eigenmischungen!AR47,1)</f>
        <v>0</v>
      </c>
      <c r="AK42" s="86"/>
      <c r="AL42" s="72"/>
    </row>
    <row r="43" spans="1:38" s="82" customFormat="1" ht="17.25" customHeight="1" x14ac:dyDescent="0.2">
      <c r="A43" s="713"/>
      <c r="B43" s="79" t="str">
        <f>Eigenmischungen!AJ2</f>
        <v>K8</v>
      </c>
      <c r="C43" s="331">
        <f>ROUND(Eigenmischungen!AJ27*10,-1)</f>
        <v>0</v>
      </c>
      <c r="D43" s="85" t="e">
        <f>ROUND(Eigenmischungen!AJ28,1)</f>
        <v>#VALUE!</v>
      </c>
      <c r="E43" s="85" t="e">
        <f>ROUND(Eigenmischungen!AJ29,1)</f>
        <v>#VALUE!</v>
      </c>
      <c r="F43" s="327" t="e">
        <f>ROUND(Eigenmischungen!AJ30,0)</f>
        <v>#VALUE!</v>
      </c>
      <c r="G43" s="92" t="e">
        <f>ROUND(Eigenmischungen!AJ31,2)</f>
        <v>#VALUE!</v>
      </c>
      <c r="H43" s="87" t="e">
        <f>ROUND(Eigenmischungen!AJ32,0)</f>
        <v>#VALUE!</v>
      </c>
      <c r="I43" s="85" t="e">
        <f>ROUND(Eigenmischungen!AJ33,1)</f>
        <v>#VALUE!</v>
      </c>
      <c r="J43" s="85"/>
      <c r="K43" s="87" t="e">
        <f>ROUND(Eigenmischungen!AJ35,0)</f>
        <v>#VALUE!</v>
      </c>
      <c r="L43" s="87" t="e">
        <f>ROUND(Eigenmischungen!AJ36,0)</f>
        <v>#VALUE!</v>
      </c>
      <c r="M43" s="87" t="e">
        <f>ROUND(Eigenmischungen!AJ37,0)</f>
        <v>#VALUE!</v>
      </c>
      <c r="N43" s="87" t="e">
        <f>ROUND(Eigenmischungen!AJ38,0)</f>
        <v>#DIV/0!</v>
      </c>
      <c r="O43" s="714" t="e">
        <f>ROUND(Eigenmischungen!AJ39,0)/100</f>
        <v>#VALUE!</v>
      </c>
      <c r="P43" s="87" t="e">
        <f>ROUND(Eigenmischungen!AJ40,0)</f>
        <v>#DIV/0!</v>
      </c>
      <c r="Q43" s="87" t="e">
        <f>ROUND(Eigenmischungen!AJ41,0)</f>
        <v>#DIV/0!</v>
      </c>
      <c r="R43" s="87" t="e">
        <f>ROUND(Eigenmischungen!AJ42,0)</f>
        <v>#DIV/0!</v>
      </c>
      <c r="S43" s="87"/>
      <c r="T43" s="87"/>
      <c r="U43" s="87" t="e">
        <f>ROUND(Eigenmischungen!AJ45,0)</f>
        <v>#VALUE!</v>
      </c>
      <c r="V43" s="85" t="e">
        <f>ROUND(Eigenmischungen!AJ46,1)</f>
        <v>#DIV/0!</v>
      </c>
      <c r="W43" s="85" t="e">
        <f>ROUND(Eigenmischungen!AJ47,1)</f>
        <v>#DIV/0!</v>
      </c>
      <c r="X43" s="85" t="e">
        <f>ROUND(Eigenmischungen!AJ48,1)</f>
        <v>#DIV/0!</v>
      </c>
      <c r="Y43" s="85" t="e">
        <f>ROUND(Eigenmischungen!AJ49,1)</f>
        <v>#DIV/0!</v>
      </c>
      <c r="Z43" s="715" t="e">
        <f>ROUND(Eigenmischungen!AJ50,1)</f>
        <v>#DIV/0!</v>
      </c>
      <c r="AA43" s="715" t="e">
        <f>ROUND(Eigenmischungen!AJ51,1)</f>
        <v>#DIV/0!</v>
      </c>
      <c r="AB43" s="715" t="e">
        <f>ROUND(Eigenmischungen!AJ52,1)</f>
        <v>#DIV/0!</v>
      </c>
      <c r="AC43" s="715">
        <f>ROUND(Eigenmischungen!AJ26,1)</f>
        <v>0</v>
      </c>
      <c r="AD43" s="86">
        <f>ROUND(Eigenmischungen!AM47,1)</f>
        <v>0</v>
      </c>
      <c r="AE43" s="86">
        <f>ROUND(Eigenmischungen!AN47,1)</f>
        <v>0</v>
      </c>
      <c r="AF43" s="86">
        <f>ROUND(Eigenmischungen!AO47,1)</f>
        <v>0</v>
      </c>
      <c r="AG43" s="86">
        <f>ROUND(Eigenmischungen!AP47,1)</f>
        <v>0</v>
      </c>
      <c r="AH43" s="86">
        <f>ROUND(Eigenmischungen!AQ47,1)</f>
        <v>0</v>
      </c>
      <c r="AI43" s="86">
        <f>ROUND(Eigenmischungen!AR47,1)</f>
        <v>0</v>
      </c>
      <c r="AJ43" s="86">
        <f>ROUND(Eigenmischungen!AS47,1)</f>
        <v>0</v>
      </c>
      <c r="AK43" s="86"/>
      <c r="AL43" s="72"/>
    </row>
    <row r="44" spans="1:38" s="82" customFormat="1" ht="17.25" customHeight="1" x14ac:dyDescent="0.2">
      <c r="A44" s="713"/>
      <c r="B44" s="79" t="str">
        <f>Eigenmischungen!AK2</f>
        <v>K9</v>
      </c>
      <c r="C44" s="331">
        <f>ROUND(Eigenmischungen!AK27*10,-1)</f>
        <v>0</v>
      </c>
      <c r="D44" s="85" t="e">
        <f>ROUND(Eigenmischungen!AK28,1)</f>
        <v>#VALUE!</v>
      </c>
      <c r="E44" s="85" t="e">
        <f>ROUND(Eigenmischungen!AK29,1)</f>
        <v>#VALUE!</v>
      </c>
      <c r="F44" s="327" t="e">
        <f>ROUND(Eigenmischungen!AK30,0)</f>
        <v>#VALUE!</v>
      </c>
      <c r="G44" s="92" t="e">
        <f>ROUND(Eigenmischungen!AK31,2)</f>
        <v>#VALUE!</v>
      </c>
      <c r="H44" s="87" t="e">
        <f>ROUND(Eigenmischungen!AK32,0)</f>
        <v>#VALUE!</v>
      </c>
      <c r="I44" s="85" t="e">
        <f>ROUND(Eigenmischungen!AK33,1)</f>
        <v>#VALUE!</v>
      </c>
      <c r="J44" s="85"/>
      <c r="K44" s="87" t="e">
        <f>ROUND(Eigenmischungen!AK35,0)</f>
        <v>#VALUE!</v>
      </c>
      <c r="L44" s="87" t="e">
        <f>ROUND(Eigenmischungen!AK36,0)</f>
        <v>#VALUE!</v>
      </c>
      <c r="M44" s="87" t="e">
        <f>ROUND(Eigenmischungen!AK37,0)</f>
        <v>#VALUE!</v>
      </c>
      <c r="N44" s="87" t="e">
        <f>ROUND(Eigenmischungen!AK38,0)</f>
        <v>#DIV/0!</v>
      </c>
      <c r="O44" s="714" t="e">
        <f>ROUND(Eigenmischungen!AK39,0)/100</f>
        <v>#VALUE!</v>
      </c>
      <c r="P44" s="87" t="e">
        <f>ROUND(Eigenmischungen!AK40,0)</f>
        <v>#DIV/0!</v>
      </c>
      <c r="Q44" s="87" t="e">
        <f>ROUND(Eigenmischungen!AK41,0)</f>
        <v>#DIV/0!</v>
      </c>
      <c r="R44" s="87" t="e">
        <f>ROUND(Eigenmischungen!AK42,0)</f>
        <v>#DIV/0!</v>
      </c>
      <c r="S44" s="87"/>
      <c r="T44" s="87"/>
      <c r="U44" s="87" t="e">
        <f>ROUND(Eigenmischungen!AK45,0)</f>
        <v>#VALUE!</v>
      </c>
      <c r="V44" s="85" t="e">
        <f>ROUND(Eigenmischungen!AK46,1)</f>
        <v>#DIV/0!</v>
      </c>
      <c r="W44" s="85" t="e">
        <f>ROUND(Eigenmischungen!AK47,1)</f>
        <v>#DIV/0!</v>
      </c>
      <c r="X44" s="85" t="e">
        <f>ROUND(Eigenmischungen!AK48,1)</f>
        <v>#DIV/0!</v>
      </c>
      <c r="Y44" s="85" t="e">
        <f>ROUND(Eigenmischungen!AK49,1)</f>
        <v>#DIV/0!</v>
      </c>
      <c r="Z44" s="715" t="e">
        <f>ROUND(Eigenmischungen!AK50,1)</f>
        <v>#DIV/0!</v>
      </c>
      <c r="AA44" s="715" t="e">
        <f>ROUND(Eigenmischungen!AK51,1)</f>
        <v>#DIV/0!</v>
      </c>
      <c r="AB44" s="715" t="e">
        <f>ROUND(Eigenmischungen!AK52,1)</f>
        <v>#DIV/0!</v>
      </c>
      <c r="AC44" s="715">
        <f>ROUND(Eigenmischungen!AK26,1)</f>
        <v>0</v>
      </c>
      <c r="AD44" s="86">
        <f>ROUND(Eigenmischungen!AN47,1)</f>
        <v>0</v>
      </c>
      <c r="AE44" s="86">
        <f>ROUND(Eigenmischungen!AO47,1)</f>
        <v>0</v>
      </c>
      <c r="AF44" s="86">
        <f>ROUND(Eigenmischungen!AP47,1)</f>
        <v>0</v>
      </c>
      <c r="AG44" s="86">
        <f>ROUND(Eigenmischungen!AQ47,1)</f>
        <v>0</v>
      </c>
      <c r="AH44" s="86">
        <f>ROUND(Eigenmischungen!AR47,1)</f>
        <v>0</v>
      </c>
      <c r="AI44" s="86">
        <f>ROUND(Eigenmischungen!AS47,1)</f>
        <v>0</v>
      </c>
      <c r="AJ44" s="86">
        <f>ROUND(Eigenmischungen!AT47,1)</f>
        <v>0</v>
      </c>
      <c r="AK44" s="86"/>
      <c r="AL44" s="72"/>
    </row>
    <row r="45" spans="1:38" s="82" customFormat="1" ht="17.25" customHeight="1" x14ac:dyDescent="0.2">
      <c r="A45" s="713"/>
      <c r="B45" s="79"/>
      <c r="C45" s="716"/>
      <c r="D45" s="717"/>
      <c r="E45" s="717"/>
      <c r="F45" s="718"/>
      <c r="G45" s="717"/>
      <c r="H45" s="717"/>
      <c r="I45" s="717"/>
      <c r="J45" s="717"/>
      <c r="K45" s="719"/>
      <c r="L45" s="719"/>
      <c r="M45" s="720"/>
      <c r="N45" s="720"/>
      <c r="O45" s="720"/>
      <c r="P45" s="720"/>
      <c r="Q45" s="720"/>
      <c r="R45" s="719"/>
      <c r="S45" s="719"/>
      <c r="T45" s="719"/>
      <c r="U45" s="719"/>
      <c r="V45" s="717"/>
      <c r="W45" s="721"/>
      <c r="X45" s="721"/>
      <c r="Y45" s="721"/>
      <c r="Z45" s="722"/>
      <c r="AA45" s="722"/>
      <c r="AB45" s="723"/>
      <c r="AC45" s="724"/>
      <c r="AD45" s="80"/>
      <c r="AE45" s="81"/>
      <c r="AF45" s="81"/>
      <c r="AG45" s="81"/>
      <c r="AH45" s="81"/>
      <c r="AI45" s="81"/>
      <c r="AJ45" s="81"/>
      <c r="AL45" s="72"/>
    </row>
    <row r="46" spans="1:38" s="82" customFormat="1" ht="17.25" customHeight="1" x14ac:dyDescent="0.2">
      <c r="A46" s="713"/>
      <c r="B46" s="79" t="str">
        <f>'TMR-Mischplan'!AP2</f>
        <v>Mischung 1</v>
      </c>
      <c r="C46" s="331">
        <f>ROUND('TMR-Mischplan'!AP41*1000,-1)</f>
        <v>0</v>
      </c>
      <c r="D46" s="85">
        <f>ROUND('TMR-Mischplan'!AP30,1)</f>
        <v>0</v>
      </c>
      <c r="E46" s="85">
        <f>ROUND('TMR-Mischplan'!AP31,1)</f>
        <v>0</v>
      </c>
      <c r="F46" s="327">
        <f>ROUND('TMR-Mischplan'!AP45,0)</f>
        <v>0</v>
      </c>
      <c r="G46" s="92" t="str">
        <f>'TMR-Mischplan'!AP47</f>
        <v/>
      </c>
      <c r="H46" s="87">
        <f>ROUND('TMR-Mischplan'!AP32,0)</f>
        <v>0</v>
      </c>
      <c r="I46" s="85">
        <f>ROUND('TMR-Mischplan'!AP33,1)</f>
        <v>0</v>
      </c>
      <c r="J46" s="85">
        <f>ROUND('TMR-Mischplan'!AP35,1)</f>
        <v>0</v>
      </c>
      <c r="K46" s="87" t="e">
        <f>ROUND('TMR-Mischplan'!AP51/'TMR-Mischplan'!AP26,0)</f>
        <v>#DIV/0!</v>
      </c>
      <c r="L46" s="87">
        <f>ROUND('TMR-Mischplan'!AP36,0)</f>
        <v>0</v>
      </c>
      <c r="M46" s="87">
        <f>ROUND('TMR-Mischplan'!AP35,0)</f>
        <v>0</v>
      </c>
      <c r="N46" s="87">
        <f>ROUND('TMR-Mischplan'!AZ26,0)</f>
        <v>0</v>
      </c>
      <c r="O46" s="92" t="str">
        <f>'TMR-Mischplan'!AP56</f>
        <v/>
      </c>
      <c r="P46" s="87">
        <f>ROUND('TMR-Mischplan'!AZ27,0)</f>
        <v>0</v>
      </c>
      <c r="Q46" s="87">
        <f>ROUND('TMR-Mischplan'!AZ28,0)</f>
        <v>0</v>
      </c>
      <c r="R46" s="87">
        <f>ROUND('TMR-Mischplan'!AZ29,0)</f>
        <v>0</v>
      </c>
      <c r="S46" s="87"/>
      <c r="T46" s="87"/>
      <c r="U46" s="87">
        <f>ROUND('TMR-Mischplan'!AP62,0)</f>
        <v>0</v>
      </c>
      <c r="V46" s="85">
        <f>ROUND('TMR-Mischplan'!AZ30,1)</f>
        <v>0</v>
      </c>
      <c r="W46" s="85">
        <f>ROUND('TMR-Mischplan'!AZ31,1)</f>
        <v>0</v>
      </c>
      <c r="X46" s="85">
        <f>ROUND('TMR-Mischplan'!AZ32,1)</f>
        <v>0</v>
      </c>
      <c r="Y46" s="85">
        <f>ROUND('TMR-Mischplan'!AZ33,1)</f>
        <v>0</v>
      </c>
      <c r="Z46" s="715">
        <f>ROUND('TMR-Mischplan'!AZ34,1)</f>
        <v>0</v>
      </c>
      <c r="AA46" s="715" t="e">
        <f>ROUND('TMR-Mischplan'!#REF!,1)</f>
        <v>#REF!</v>
      </c>
      <c r="AB46" s="334">
        <f>ROUND('TMR-Mischplan'!AZ35,1)</f>
        <v>0</v>
      </c>
      <c r="AC46" s="271"/>
      <c r="AD46" s="80"/>
      <c r="AE46" s="81"/>
      <c r="AF46" s="81"/>
      <c r="AG46" s="81"/>
      <c r="AH46" s="81"/>
      <c r="AI46" s="81"/>
      <c r="AJ46" s="81"/>
      <c r="AL46" s="72"/>
    </row>
    <row r="47" spans="1:38" s="82" customFormat="1" ht="17.25" customHeight="1" x14ac:dyDescent="0.2">
      <c r="A47" s="713"/>
      <c r="B47" s="79" t="str">
        <f>'TMR-Mischplan'!AQ2</f>
        <v>Mischung 2</v>
      </c>
      <c r="C47" s="331">
        <f>ROUND('TMR-Mischplan'!AQ41*1000,-1)</f>
        <v>0</v>
      </c>
      <c r="D47" s="85">
        <f>ROUND('TMR-Mischplan'!AQ30,1)</f>
        <v>0</v>
      </c>
      <c r="E47" s="85">
        <f>ROUND('TMR-Mischplan'!AQ31,1)</f>
        <v>0</v>
      </c>
      <c r="F47" s="327">
        <f>ROUND('TMR-Mischplan'!AQ45,0)</f>
        <v>0</v>
      </c>
      <c r="G47" s="92" t="str">
        <f>'TMR-Mischplan'!AQ47</f>
        <v/>
      </c>
      <c r="H47" s="87">
        <f>ROUND('TMR-Mischplan'!AQ32,0)</f>
        <v>0</v>
      </c>
      <c r="I47" s="85">
        <f>ROUND('TMR-Mischplan'!AQ33,1)</f>
        <v>0</v>
      </c>
      <c r="J47" s="85">
        <f>ROUND('TMR-Mischplan'!AQ35,1)</f>
        <v>0</v>
      </c>
      <c r="K47" s="87" t="e">
        <f>ROUND('TMR-Mischplan'!AQ51/'TMR-Mischplan'!AQ26,0)</f>
        <v>#DIV/0!</v>
      </c>
      <c r="L47" s="87">
        <f>ROUND('TMR-Mischplan'!AQ36,0)</f>
        <v>0</v>
      </c>
      <c r="M47" s="87">
        <f>ROUND('TMR-Mischplan'!AQ35,0)</f>
        <v>0</v>
      </c>
      <c r="N47" s="87">
        <f>ROUND('TMR-Mischplan'!BA26,0)</f>
        <v>0</v>
      </c>
      <c r="O47" s="92" t="str">
        <f>'TMR-Mischplan'!AQ56</f>
        <v/>
      </c>
      <c r="P47" s="87">
        <f>ROUND('TMR-Mischplan'!BA27,0)</f>
        <v>0</v>
      </c>
      <c r="Q47" s="87">
        <f>ROUND('TMR-Mischplan'!BA28,0)</f>
        <v>0</v>
      </c>
      <c r="R47" s="87">
        <f>ROUND('TMR-Mischplan'!BA29,0)</f>
        <v>0</v>
      </c>
      <c r="S47" s="87"/>
      <c r="T47" s="87"/>
      <c r="U47" s="87">
        <f>ROUND('TMR-Mischplan'!AQ62,0)</f>
        <v>0</v>
      </c>
      <c r="V47" s="85">
        <f>ROUND('TMR-Mischplan'!BA30,1)</f>
        <v>0</v>
      </c>
      <c r="W47" s="85">
        <f>ROUND('TMR-Mischplan'!BA31,1)</f>
        <v>0</v>
      </c>
      <c r="X47" s="85">
        <f>ROUND('TMR-Mischplan'!BA32,1)</f>
        <v>0</v>
      </c>
      <c r="Y47" s="85">
        <f>ROUND('TMR-Mischplan'!BA33,1)</f>
        <v>0</v>
      </c>
      <c r="Z47" s="715">
        <f>ROUND('TMR-Mischplan'!BA34,1)</f>
        <v>0</v>
      </c>
      <c r="AA47" s="715" t="e">
        <f>ROUND('TMR-Mischplan'!#REF!,1)</f>
        <v>#REF!</v>
      </c>
      <c r="AB47" s="334">
        <f>ROUND('TMR-Mischplan'!BA35,1)</f>
        <v>0</v>
      </c>
      <c r="AC47" s="271"/>
      <c r="AD47" s="80"/>
      <c r="AE47" s="81"/>
      <c r="AF47" s="81"/>
      <c r="AG47" s="81"/>
      <c r="AH47" s="81"/>
      <c r="AI47" s="81"/>
      <c r="AJ47" s="81"/>
      <c r="AL47" s="72"/>
    </row>
    <row r="48" spans="1:38" s="82" customFormat="1" ht="17.25" customHeight="1" x14ac:dyDescent="0.2">
      <c r="A48" s="713"/>
      <c r="B48" s="79" t="str">
        <f>'TMR-Mischplan'!AR2</f>
        <v>Mischung 2</v>
      </c>
      <c r="C48" s="331">
        <f>ROUND('TMR-Mischplan'!AR41*1000,-1)</f>
        <v>0</v>
      </c>
      <c r="D48" s="85">
        <f>ROUND('TMR-Mischplan'!AR30,1)</f>
        <v>0</v>
      </c>
      <c r="E48" s="85">
        <f>ROUND('TMR-Mischplan'!AR31,1)</f>
        <v>0</v>
      </c>
      <c r="F48" s="327">
        <f>ROUND('TMR-Mischplan'!AR45,0)</f>
        <v>0</v>
      </c>
      <c r="G48" s="92" t="str">
        <f>'TMR-Mischplan'!AR47</f>
        <v/>
      </c>
      <c r="H48" s="87">
        <f>ROUND('TMR-Mischplan'!AR32,0)</f>
        <v>0</v>
      </c>
      <c r="I48" s="85">
        <f>ROUND('TMR-Mischplan'!AR33,1)</f>
        <v>0</v>
      </c>
      <c r="J48" s="85">
        <f>ROUND('TMR-Mischplan'!AR35,1)</f>
        <v>0</v>
      </c>
      <c r="K48" s="87" t="e">
        <f>ROUND('TMR-Mischplan'!AR51/'TMR-Mischplan'!AR26,0)</f>
        <v>#DIV/0!</v>
      </c>
      <c r="L48" s="87">
        <f>ROUND('TMR-Mischplan'!AR36,0)</f>
        <v>0</v>
      </c>
      <c r="M48" s="87">
        <f>ROUND('TMR-Mischplan'!AR35,0)</f>
        <v>0</v>
      </c>
      <c r="N48" s="87">
        <f>ROUND('TMR-Mischplan'!BB26,0)</f>
        <v>0</v>
      </c>
      <c r="O48" s="92" t="str">
        <f>'TMR-Mischplan'!AR56</f>
        <v/>
      </c>
      <c r="P48" s="87">
        <f>ROUND('TMR-Mischplan'!BB27,0)</f>
        <v>0</v>
      </c>
      <c r="Q48" s="87">
        <f>ROUND('TMR-Mischplan'!BB28,0)</f>
        <v>0</v>
      </c>
      <c r="R48" s="87">
        <f>ROUND('TMR-Mischplan'!BB29,0)</f>
        <v>0</v>
      </c>
      <c r="S48" s="87"/>
      <c r="T48" s="87"/>
      <c r="U48" s="87">
        <f>ROUND('TMR-Mischplan'!AR62,0)</f>
        <v>0</v>
      </c>
      <c r="V48" s="85">
        <f>ROUND('TMR-Mischplan'!BB30,1)</f>
        <v>0</v>
      </c>
      <c r="W48" s="85">
        <f>ROUND('TMR-Mischplan'!BB31,1)</f>
        <v>0</v>
      </c>
      <c r="X48" s="85">
        <f>ROUND('TMR-Mischplan'!BB32,1)</f>
        <v>0</v>
      </c>
      <c r="Y48" s="85">
        <f>ROUND('TMR-Mischplan'!BB33,1)</f>
        <v>0</v>
      </c>
      <c r="Z48" s="715">
        <f>ROUND('TMR-Mischplan'!BB34,1)</f>
        <v>0</v>
      </c>
      <c r="AA48" s="715" t="e">
        <f>ROUND('TMR-Mischplan'!#REF!,1)</f>
        <v>#REF!</v>
      </c>
      <c r="AB48" s="334">
        <f>ROUND('TMR-Mischplan'!BB35,1)</f>
        <v>0</v>
      </c>
      <c r="AC48" s="271"/>
      <c r="AD48" s="80"/>
      <c r="AE48" s="81"/>
      <c r="AF48" s="81"/>
      <c r="AG48" s="81"/>
      <c r="AH48" s="81"/>
      <c r="AI48" s="81"/>
      <c r="AJ48" s="81"/>
      <c r="AL48" s="72"/>
    </row>
    <row r="49" spans="1:38" s="82" customFormat="1" ht="17.25" customHeight="1" x14ac:dyDescent="0.2">
      <c r="A49" s="713"/>
      <c r="B49" s="79" t="str">
        <f>'TMR-Mischplan'!AS2</f>
        <v>Mischung 4</v>
      </c>
      <c r="C49" s="331">
        <f>ROUND('TMR-Mischplan'!AS41*1000,-1)</f>
        <v>0</v>
      </c>
      <c r="D49" s="85">
        <f>ROUND('TMR-Mischplan'!AS30,1)</f>
        <v>0</v>
      </c>
      <c r="E49" s="85">
        <f>ROUND('TMR-Mischplan'!AS31,1)</f>
        <v>0</v>
      </c>
      <c r="F49" s="327">
        <f>ROUND('TMR-Mischplan'!AS45,0)</f>
        <v>0</v>
      </c>
      <c r="G49" s="92" t="str">
        <f>'TMR-Mischplan'!AS47</f>
        <v/>
      </c>
      <c r="H49" s="87">
        <f>ROUND('TMR-Mischplan'!AS32,0)</f>
        <v>0</v>
      </c>
      <c r="I49" s="85">
        <f>ROUND('TMR-Mischplan'!AS33,1)</f>
        <v>0</v>
      </c>
      <c r="J49" s="85">
        <f>ROUND('TMR-Mischplan'!AS35,1)</f>
        <v>0</v>
      </c>
      <c r="K49" s="87" t="e">
        <f>ROUND('TMR-Mischplan'!AS51/'TMR-Mischplan'!AS26,0)</f>
        <v>#DIV/0!</v>
      </c>
      <c r="L49" s="87">
        <f>ROUND('TMR-Mischplan'!AS36,0)</f>
        <v>0</v>
      </c>
      <c r="M49" s="87">
        <f>ROUND('TMR-Mischplan'!AS35,0)</f>
        <v>0</v>
      </c>
      <c r="N49" s="87">
        <f>ROUND('TMR-Mischplan'!BC26,0)</f>
        <v>0</v>
      </c>
      <c r="O49" s="92" t="str">
        <f>'TMR-Mischplan'!AS56</f>
        <v/>
      </c>
      <c r="P49" s="87">
        <f>ROUND('TMR-Mischplan'!BC27,0)</f>
        <v>0</v>
      </c>
      <c r="Q49" s="87">
        <f>ROUND('TMR-Mischplan'!BC28,0)</f>
        <v>0</v>
      </c>
      <c r="R49" s="87">
        <f>ROUND('TMR-Mischplan'!BC29,0)</f>
        <v>0</v>
      </c>
      <c r="S49" s="87"/>
      <c r="T49" s="87"/>
      <c r="U49" s="87">
        <f>ROUND('TMR-Mischplan'!AS62,0)</f>
        <v>0</v>
      </c>
      <c r="V49" s="85">
        <f>ROUND('TMR-Mischplan'!BC30,1)</f>
        <v>0</v>
      </c>
      <c r="W49" s="85">
        <f>ROUND('TMR-Mischplan'!BC31,1)</f>
        <v>0</v>
      </c>
      <c r="X49" s="85">
        <f>ROUND('TMR-Mischplan'!BC32,1)</f>
        <v>0</v>
      </c>
      <c r="Y49" s="85">
        <f>ROUND('TMR-Mischplan'!BC33,1)</f>
        <v>0</v>
      </c>
      <c r="Z49" s="715">
        <f>ROUND('TMR-Mischplan'!BC34,1)</f>
        <v>0</v>
      </c>
      <c r="AA49" s="715" t="e">
        <f>ROUND('TMR-Mischplan'!#REF!,1)</f>
        <v>#REF!</v>
      </c>
      <c r="AB49" s="334">
        <f>ROUND('TMR-Mischplan'!BC35,1)</f>
        <v>0</v>
      </c>
      <c r="AC49" s="271"/>
      <c r="AD49" s="80"/>
      <c r="AE49" s="81"/>
      <c r="AF49" s="81"/>
      <c r="AG49" s="81"/>
      <c r="AH49" s="81"/>
      <c r="AI49" s="81"/>
      <c r="AJ49" s="81"/>
      <c r="AL49" s="72"/>
    </row>
    <row r="50" spans="1:38" s="82" customFormat="1" ht="17.25" customHeight="1" x14ac:dyDescent="0.2">
      <c r="A50" s="713"/>
      <c r="B50" s="79" t="str">
        <f>'TMR-Mischplan'!AT2</f>
        <v>Mischung 5</v>
      </c>
      <c r="C50" s="331">
        <f>ROUND('TMR-Mischplan'!AT41*1000,-1)</f>
        <v>0</v>
      </c>
      <c r="D50" s="85">
        <f>ROUND('TMR-Mischplan'!AT30,1)</f>
        <v>0</v>
      </c>
      <c r="E50" s="85">
        <f>ROUND('TMR-Mischplan'!AT31,1)</f>
        <v>0</v>
      </c>
      <c r="F50" s="327">
        <f>ROUND('TMR-Mischplan'!AT45,0)</f>
        <v>0</v>
      </c>
      <c r="G50" s="92" t="str">
        <f>'TMR-Mischplan'!AT47</f>
        <v/>
      </c>
      <c r="H50" s="87">
        <f>ROUND('TMR-Mischplan'!AT32,0)</f>
        <v>0</v>
      </c>
      <c r="I50" s="85">
        <f>ROUND('TMR-Mischplan'!AT33,1)</f>
        <v>0</v>
      </c>
      <c r="J50" s="85">
        <f>ROUND('TMR-Mischplan'!AT35,1)</f>
        <v>0</v>
      </c>
      <c r="K50" s="87" t="e">
        <f>ROUND('TMR-Mischplan'!AT51/'TMR-Mischplan'!AT26,0)</f>
        <v>#DIV/0!</v>
      </c>
      <c r="L50" s="87" t="e">
        <f>ROUND('TMR-Mischplan'!#REF!,0)</f>
        <v>#REF!</v>
      </c>
      <c r="M50" s="87">
        <f>ROUND('TMR-Mischplan'!AT35,0)</f>
        <v>0</v>
      </c>
      <c r="N50" s="87">
        <f>ROUND('TMR-Mischplan'!BD26,0)</f>
        <v>0</v>
      </c>
      <c r="O50" s="92" t="str">
        <f>'TMR-Mischplan'!AT56</f>
        <v/>
      </c>
      <c r="P50" s="87">
        <f>ROUND('TMR-Mischplan'!BD27,0)</f>
        <v>0</v>
      </c>
      <c r="Q50" s="87">
        <f>ROUND('TMR-Mischplan'!BD28,0)</f>
        <v>0</v>
      </c>
      <c r="R50" s="87">
        <f>ROUND('TMR-Mischplan'!BD29,0)</f>
        <v>0</v>
      </c>
      <c r="S50" s="87"/>
      <c r="T50" s="87"/>
      <c r="U50" s="87">
        <f>ROUND('TMR-Mischplan'!AT62,0)</f>
        <v>0</v>
      </c>
      <c r="V50" s="85">
        <f>ROUND('TMR-Mischplan'!BD30,1)</f>
        <v>0</v>
      </c>
      <c r="W50" s="85">
        <f>ROUND('TMR-Mischplan'!BD31,1)</f>
        <v>0</v>
      </c>
      <c r="X50" s="85">
        <f>ROUND('TMR-Mischplan'!BD32,1)</f>
        <v>0</v>
      </c>
      <c r="Y50" s="85">
        <f>ROUND('TMR-Mischplan'!BD33,1)</f>
        <v>0</v>
      </c>
      <c r="Z50" s="715">
        <f>ROUND('TMR-Mischplan'!BD34,1)</f>
        <v>0</v>
      </c>
      <c r="AA50" s="715" t="e">
        <f>ROUND('TMR-Mischplan'!#REF!,1)</f>
        <v>#REF!</v>
      </c>
      <c r="AB50" s="334">
        <f>ROUND('TMR-Mischplan'!BD35,1)</f>
        <v>0</v>
      </c>
      <c r="AC50" s="271"/>
      <c r="AD50" s="80"/>
      <c r="AE50" s="81"/>
      <c r="AF50" s="81"/>
      <c r="AG50" s="81"/>
      <c r="AH50" s="81"/>
      <c r="AI50" s="81"/>
      <c r="AJ50" s="81"/>
      <c r="AL50" s="72"/>
    </row>
    <row r="51" spans="1:38" s="82" customFormat="1" ht="17.25" customHeight="1" x14ac:dyDescent="0.2">
      <c r="A51" s="713"/>
      <c r="B51" s="79" t="str">
        <f>'TMR-Mischplan'!AU2</f>
        <v>Mischung 6</v>
      </c>
      <c r="C51" s="331">
        <f>ROUND('TMR-Mischplan'!AU41*1000,-1)</f>
        <v>0</v>
      </c>
      <c r="D51" s="85">
        <f>ROUND('TMR-Mischplan'!AU30,1)</f>
        <v>0</v>
      </c>
      <c r="E51" s="85">
        <f>ROUND('TMR-Mischplan'!AU31,1)</f>
        <v>0</v>
      </c>
      <c r="F51" s="327">
        <f>ROUND('TMR-Mischplan'!AU45,0)</f>
        <v>0</v>
      </c>
      <c r="G51" s="92" t="str">
        <f>'TMR-Mischplan'!AU47</f>
        <v/>
      </c>
      <c r="H51" s="87">
        <f>ROUND('TMR-Mischplan'!AU32,0)</f>
        <v>0</v>
      </c>
      <c r="I51" s="85">
        <f>ROUND('TMR-Mischplan'!AU33,1)</f>
        <v>0</v>
      </c>
      <c r="J51" s="85">
        <f>ROUND('TMR-Mischplan'!AU35,1)</f>
        <v>0</v>
      </c>
      <c r="K51" s="87" t="e">
        <f>ROUND('TMR-Mischplan'!AU51/'TMR-Mischplan'!AU26,0)</f>
        <v>#DIV/0!</v>
      </c>
      <c r="L51" s="87" t="e">
        <f>ROUND('TMR-Mischplan'!#REF!,0)</f>
        <v>#REF!</v>
      </c>
      <c r="M51" s="87">
        <f>ROUND('TMR-Mischplan'!AU35,0)</f>
        <v>0</v>
      </c>
      <c r="N51" s="87">
        <f>ROUND('TMR-Mischplan'!BE26,0)</f>
        <v>0</v>
      </c>
      <c r="O51" s="92" t="str">
        <f>'TMR-Mischplan'!AU56</f>
        <v/>
      </c>
      <c r="P51" s="87">
        <f>ROUND('TMR-Mischplan'!BE27,0)</f>
        <v>0</v>
      </c>
      <c r="Q51" s="87">
        <f>ROUND('TMR-Mischplan'!BE28,0)</f>
        <v>0</v>
      </c>
      <c r="R51" s="87">
        <f>ROUND('TMR-Mischplan'!BE29,0)</f>
        <v>0</v>
      </c>
      <c r="S51" s="87"/>
      <c r="T51" s="87"/>
      <c r="U51" s="87">
        <f>ROUND('TMR-Mischplan'!AU62,0)</f>
        <v>0</v>
      </c>
      <c r="V51" s="85">
        <f>ROUND('TMR-Mischplan'!BE30,1)</f>
        <v>0</v>
      </c>
      <c r="W51" s="85">
        <f>ROUND('TMR-Mischplan'!BE31,1)</f>
        <v>0</v>
      </c>
      <c r="X51" s="85">
        <f>ROUND('TMR-Mischplan'!BE32,1)</f>
        <v>0</v>
      </c>
      <c r="Y51" s="85">
        <f>ROUND('TMR-Mischplan'!BE33,1)</f>
        <v>0</v>
      </c>
      <c r="Z51" s="715">
        <f>ROUND('TMR-Mischplan'!BE34,1)</f>
        <v>0</v>
      </c>
      <c r="AA51" s="715" t="e">
        <f>ROUND('TMR-Mischplan'!#REF!,1)</f>
        <v>#REF!</v>
      </c>
      <c r="AB51" s="334">
        <f>ROUND('TMR-Mischplan'!BE35,1)</f>
        <v>0</v>
      </c>
      <c r="AC51" s="271"/>
      <c r="AD51" s="80"/>
      <c r="AE51" s="81"/>
      <c r="AF51" s="81"/>
      <c r="AG51" s="81"/>
      <c r="AH51" s="81"/>
      <c r="AI51" s="81"/>
      <c r="AJ51" s="81"/>
      <c r="AL51" s="72"/>
    </row>
    <row r="52" spans="1:38" s="82" customFormat="1" ht="17.25" customHeight="1" x14ac:dyDescent="0.2">
      <c r="A52" s="713"/>
      <c r="B52" s="79" t="str">
        <f>'TMR-Mischplan'!AV2</f>
        <v>Mischung 7</v>
      </c>
      <c r="C52" s="331">
        <f>ROUND('TMR-Mischplan'!AV41*1000,-1)</f>
        <v>0</v>
      </c>
      <c r="D52" s="85">
        <f>ROUND('TMR-Mischplan'!AV30,1)</f>
        <v>0</v>
      </c>
      <c r="E52" s="85">
        <f>ROUND('TMR-Mischplan'!AV31,1)</f>
        <v>0</v>
      </c>
      <c r="F52" s="327">
        <f>ROUND('TMR-Mischplan'!AV45,0)</f>
        <v>0</v>
      </c>
      <c r="G52" s="92" t="str">
        <f>'TMR-Mischplan'!AV47</f>
        <v/>
      </c>
      <c r="H52" s="87">
        <f>ROUND('TMR-Mischplan'!AV32,0)</f>
        <v>0</v>
      </c>
      <c r="I52" s="85">
        <f>ROUND('TMR-Mischplan'!AV33,1)</f>
        <v>0</v>
      </c>
      <c r="J52" s="85">
        <f>ROUND('TMR-Mischplan'!AV35,1)</f>
        <v>0</v>
      </c>
      <c r="K52" s="87" t="e">
        <f>ROUND('TMR-Mischplan'!AV51/'TMR-Mischplan'!AV26,0)</f>
        <v>#DIV/0!</v>
      </c>
      <c r="L52" s="87" t="e">
        <f>ROUND('TMR-Mischplan'!#REF!,0)</f>
        <v>#REF!</v>
      </c>
      <c r="M52" s="87">
        <f>ROUND('TMR-Mischplan'!AV35,0)</f>
        <v>0</v>
      </c>
      <c r="N52" s="87">
        <f>ROUND('TMR-Mischplan'!BF26,0)</f>
        <v>0</v>
      </c>
      <c r="O52" s="92" t="str">
        <f>'TMR-Mischplan'!AV56</f>
        <v/>
      </c>
      <c r="P52" s="87">
        <f>ROUND('TMR-Mischplan'!BF27,0)</f>
        <v>0</v>
      </c>
      <c r="Q52" s="87">
        <f>ROUND('TMR-Mischplan'!BF28,0)</f>
        <v>0</v>
      </c>
      <c r="R52" s="87">
        <f>ROUND('TMR-Mischplan'!BF29,0)</f>
        <v>0</v>
      </c>
      <c r="S52" s="87"/>
      <c r="T52" s="87"/>
      <c r="U52" s="87">
        <f>ROUND('TMR-Mischplan'!AV62,0)</f>
        <v>0</v>
      </c>
      <c r="V52" s="85">
        <f>ROUND('TMR-Mischplan'!BF30,1)</f>
        <v>0</v>
      </c>
      <c r="W52" s="85">
        <f>ROUND('TMR-Mischplan'!BF31,1)</f>
        <v>0</v>
      </c>
      <c r="X52" s="85">
        <f>ROUND('TMR-Mischplan'!BF32,1)</f>
        <v>0</v>
      </c>
      <c r="Y52" s="85">
        <f>ROUND('TMR-Mischplan'!BF33,1)</f>
        <v>0</v>
      </c>
      <c r="Z52" s="715">
        <f>ROUND('TMR-Mischplan'!BF34,1)</f>
        <v>0</v>
      </c>
      <c r="AA52" s="715" t="e">
        <f>ROUND('TMR-Mischplan'!#REF!,1)</f>
        <v>#REF!</v>
      </c>
      <c r="AB52" s="334">
        <f>ROUND('TMR-Mischplan'!BF35,1)</f>
        <v>0</v>
      </c>
      <c r="AC52" s="271"/>
      <c r="AD52" s="80"/>
      <c r="AE52" s="81"/>
      <c r="AF52" s="81"/>
      <c r="AG52" s="81"/>
      <c r="AH52" s="81"/>
      <c r="AI52" s="81"/>
      <c r="AJ52" s="81"/>
      <c r="AL52" s="72"/>
    </row>
    <row r="53" spans="1:38" s="82" customFormat="1" ht="17.25" customHeight="1" x14ac:dyDescent="0.2">
      <c r="A53" s="713"/>
      <c r="B53" s="79" t="str">
        <f>'TMR-Mischplan'!AW2</f>
        <v>Mischung 8</v>
      </c>
      <c r="C53" s="331">
        <f>ROUND('TMR-Mischplan'!AW41*1000,-1)</f>
        <v>0</v>
      </c>
      <c r="D53" s="85">
        <f>ROUND('TMR-Mischplan'!AW30,1)</f>
        <v>0</v>
      </c>
      <c r="E53" s="85">
        <f>ROUND('TMR-Mischplan'!AW31,1)</f>
        <v>0</v>
      </c>
      <c r="F53" s="327">
        <f>ROUND('TMR-Mischplan'!AW45,0)</f>
        <v>0</v>
      </c>
      <c r="G53" s="92" t="str">
        <f>'TMR-Mischplan'!AW47</f>
        <v/>
      </c>
      <c r="H53" s="87">
        <f>ROUND('TMR-Mischplan'!AW32,0)</f>
        <v>0</v>
      </c>
      <c r="I53" s="85">
        <f>ROUND('TMR-Mischplan'!AW33,1)</f>
        <v>0</v>
      </c>
      <c r="J53" s="85">
        <f>ROUND('TMR-Mischplan'!AW35,1)</f>
        <v>0</v>
      </c>
      <c r="K53" s="87" t="e">
        <f>ROUND('TMR-Mischplan'!AW51/'TMR-Mischplan'!AW26,0)</f>
        <v>#DIV/0!</v>
      </c>
      <c r="L53" s="87" t="e">
        <f>ROUND('TMR-Mischplan'!#REF!,0)</f>
        <v>#REF!</v>
      </c>
      <c r="M53" s="87">
        <f>ROUND('TMR-Mischplan'!AW35,0)</f>
        <v>0</v>
      </c>
      <c r="N53" s="87">
        <f>ROUND('TMR-Mischplan'!BG26,0)</f>
        <v>0</v>
      </c>
      <c r="O53" s="92" t="str">
        <f>'TMR-Mischplan'!AW56</f>
        <v/>
      </c>
      <c r="P53" s="87">
        <f>ROUND('TMR-Mischplan'!BG27,0)</f>
        <v>0</v>
      </c>
      <c r="Q53" s="87">
        <f>ROUND('TMR-Mischplan'!BG28,0)</f>
        <v>0</v>
      </c>
      <c r="R53" s="87">
        <f>ROUND('TMR-Mischplan'!BG29,0)</f>
        <v>0</v>
      </c>
      <c r="S53" s="87"/>
      <c r="T53" s="87"/>
      <c r="U53" s="87">
        <f>ROUND('TMR-Mischplan'!AW62,0)</f>
        <v>0</v>
      </c>
      <c r="V53" s="85">
        <f>ROUND('TMR-Mischplan'!BG30,1)</f>
        <v>0</v>
      </c>
      <c r="W53" s="85">
        <f>ROUND('TMR-Mischplan'!BG31,1)</f>
        <v>0</v>
      </c>
      <c r="X53" s="85">
        <f>ROUND('TMR-Mischplan'!BG32,1)</f>
        <v>0</v>
      </c>
      <c r="Y53" s="85">
        <f>ROUND('TMR-Mischplan'!BG33,1)</f>
        <v>0</v>
      </c>
      <c r="Z53" s="715">
        <f>ROUND('TMR-Mischplan'!BG34,1)</f>
        <v>0</v>
      </c>
      <c r="AA53" s="715" t="e">
        <f>ROUND('TMR-Mischplan'!#REF!,1)</f>
        <v>#REF!</v>
      </c>
      <c r="AB53" s="334">
        <f>ROUND('TMR-Mischplan'!BG35,1)</f>
        <v>0</v>
      </c>
      <c r="AC53" s="271"/>
      <c r="AD53" s="80"/>
      <c r="AE53" s="81"/>
      <c r="AF53" s="81"/>
      <c r="AG53" s="81"/>
      <c r="AH53" s="81"/>
      <c r="AI53" s="81"/>
      <c r="AJ53" s="81"/>
      <c r="AL53" s="72"/>
    </row>
    <row r="54" spans="1:38" s="82" customFormat="1" ht="17.25" customHeight="1" x14ac:dyDescent="0.2">
      <c r="A54" s="713"/>
      <c r="B54" s="79" t="str">
        <f>'TMR-Mischplan'!AX2</f>
        <v>Mischung 9</v>
      </c>
      <c r="C54" s="331">
        <f>ROUND('TMR-Mischplan'!AX41*1000,-1)</f>
        <v>0</v>
      </c>
      <c r="D54" s="85">
        <f>ROUND('TMR-Mischplan'!AX30,1)</f>
        <v>0</v>
      </c>
      <c r="E54" s="85">
        <f>ROUND('TMR-Mischplan'!AX31,1)</f>
        <v>0</v>
      </c>
      <c r="F54" s="327">
        <f>ROUND('TMR-Mischplan'!AX45,0)</f>
        <v>0</v>
      </c>
      <c r="G54" s="92" t="str">
        <f>'TMR-Mischplan'!AX47</f>
        <v/>
      </c>
      <c r="H54" s="87">
        <f>ROUND('TMR-Mischplan'!AX32,0)</f>
        <v>0</v>
      </c>
      <c r="I54" s="85">
        <f>ROUND('TMR-Mischplan'!AX33,1)</f>
        <v>0</v>
      </c>
      <c r="J54" s="85">
        <f>ROUND('TMR-Mischplan'!AX35,1)</f>
        <v>0</v>
      </c>
      <c r="K54" s="87" t="e">
        <f>ROUND('TMR-Mischplan'!AX51/'TMR-Mischplan'!AX26,0)</f>
        <v>#DIV/0!</v>
      </c>
      <c r="L54" s="87" t="e">
        <f>ROUND('TMR-Mischplan'!#REF!,0)</f>
        <v>#REF!</v>
      </c>
      <c r="M54" s="87">
        <f>ROUND('TMR-Mischplan'!AX35,0)</f>
        <v>0</v>
      </c>
      <c r="N54" s="87">
        <f>ROUND('TMR-Mischplan'!BH26,0)</f>
        <v>0</v>
      </c>
      <c r="O54" s="92" t="str">
        <f>'TMR-Mischplan'!AX56</f>
        <v/>
      </c>
      <c r="P54" s="87">
        <f>ROUND('TMR-Mischplan'!BH27,0)</f>
        <v>0</v>
      </c>
      <c r="Q54" s="87">
        <f>ROUND('TMR-Mischplan'!BH28,0)</f>
        <v>0</v>
      </c>
      <c r="R54" s="87">
        <f>ROUND('TMR-Mischplan'!BH29,0)</f>
        <v>0</v>
      </c>
      <c r="S54" s="87"/>
      <c r="T54" s="87"/>
      <c r="U54" s="87">
        <f>ROUND('TMR-Mischplan'!AX62,0)</f>
        <v>0</v>
      </c>
      <c r="V54" s="85">
        <f>ROUND('TMR-Mischplan'!BH30,1)</f>
        <v>0</v>
      </c>
      <c r="W54" s="85">
        <f>ROUND('TMR-Mischplan'!BH31,1)</f>
        <v>0</v>
      </c>
      <c r="X54" s="85">
        <f>ROUND('TMR-Mischplan'!BH32,1)</f>
        <v>0</v>
      </c>
      <c r="Y54" s="85">
        <f>ROUND('TMR-Mischplan'!BH33,1)</f>
        <v>0</v>
      </c>
      <c r="Z54" s="715">
        <f>ROUND('TMR-Mischplan'!BH34,1)</f>
        <v>0</v>
      </c>
      <c r="AA54" s="715" t="e">
        <f>ROUND('TMR-Mischplan'!#REF!,1)</f>
        <v>#REF!</v>
      </c>
      <c r="AB54" s="334">
        <f>ROUND('TMR-Mischplan'!BH35,1)</f>
        <v>0</v>
      </c>
      <c r="AC54" s="271"/>
      <c r="AD54" s="80"/>
      <c r="AE54" s="81"/>
      <c r="AF54" s="81"/>
      <c r="AG54" s="81"/>
      <c r="AH54" s="81"/>
      <c r="AI54" s="81"/>
      <c r="AJ54" s="81"/>
      <c r="AL54" s="72"/>
    </row>
    <row r="55" spans="1:38" s="72" customFormat="1" ht="17.25" customHeight="1" x14ac:dyDescent="0.2">
      <c r="A55" s="725"/>
      <c r="B55" s="83"/>
      <c r="C55" s="716"/>
      <c r="D55" s="717"/>
      <c r="E55" s="717"/>
      <c r="F55" s="718"/>
      <c r="G55" s="717"/>
      <c r="H55" s="717"/>
      <c r="I55" s="717"/>
      <c r="J55" s="717"/>
      <c r="K55" s="719"/>
      <c r="L55" s="719"/>
      <c r="M55" s="719"/>
      <c r="N55" s="719"/>
      <c r="O55" s="719"/>
      <c r="P55" s="719"/>
      <c r="Q55" s="719"/>
      <c r="R55" s="719"/>
      <c r="S55" s="719"/>
      <c r="T55" s="719"/>
      <c r="U55" s="719"/>
      <c r="V55" s="717"/>
      <c r="W55" s="721"/>
      <c r="X55" s="721"/>
      <c r="Y55" s="721"/>
      <c r="Z55" s="722"/>
      <c r="AA55" s="722"/>
      <c r="AB55" s="723"/>
      <c r="AC55" s="724"/>
      <c r="AD55" s="78"/>
      <c r="AE55" s="78"/>
      <c r="AF55" s="78"/>
      <c r="AG55" s="78"/>
      <c r="AH55" s="78"/>
      <c r="AI55" s="78"/>
      <c r="AJ55" s="78"/>
    </row>
    <row r="56" spans="1:38" s="72" customFormat="1" ht="17.25" customHeight="1" x14ac:dyDescent="0.2">
      <c r="A56" s="704" t="s">
        <v>68</v>
      </c>
      <c r="B56" s="705"/>
      <c r="C56" s="706">
        <v>0</v>
      </c>
      <c r="D56" s="707">
        <v>1E-4</v>
      </c>
      <c r="E56" s="707">
        <v>1E-4</v>
      </c>
      <c r="F56" s="708">
        <v>1E-4</v>
      </c>
      <c r="G56" s="707">
        <v>1E-4</v>
      </c>
      <c r="H56" s="707">
        <v>1E-4</v>
      </c>
      <c r="I56" s="707">
        <v>1E-4</v>
      </c>
      <c r="J56" s="707">
        <v>1E-4</v>
      </c>
      <c r="K56" s="707">
        <v>1E-4</v>
      </c>
      <c r="L56" s="707">
        <v>1E-4</v>
      </c>
      <c r="M56" s="707">
        <v>1E-4</v>
      </c>
      <c r="N56" s="707">
        <v>1E-4</v>
      </c>
      <c r="O56" s="707">
        <v>1E-4</v>
      </c>
      <c r="P56" s="707">
        <v>1E-4</v>
      </c>
      <c r="Q56" s="707">
        <v>1E-4</v>
      </c>
      <c r="R56" s="707">
        <v>1E-4</v>
      </c>
      <c r="S56" s="707">
        <v>1E-4</v>
      </c>
      <c r="T56" s="707">
        <v>1E-4</v>
      </c>
      <c r="U56" s="707">
        <v>1E-4</v>
      </c>
      <c r="V56" s="707">
        <v>1E-4</v>
      </c>
      <c r="W56" s="709">
        <v>1E-4</v>
      </c>
      <c r="X56" s="709">
        <v>1E-4</v>
      </c>
      <c r="Y56" s="709">
        <v>1E-4</v>
      </c>
      <c r="Z56" s="710">
        <v>1E-4</v>
      </c>
      <c r="AA56" s="710">
        <v>1E-4</v>
      </c>
      <c r="AB56" s="726"/>
      <c r="AC56" s="711"/>
      <c r="AD56" s="73"/>
      <c r="AE56" s="73"/>
      <c r="AF56" s="73"/>
      <c r="AG56" s="73"/>
      <c r="AH56" s="73"/>
      <c r="AI56" s="73"/>
      <c r="AJ56" s="73"/>
    </row>
    <row r="57" spans="1:38" s="296" customFormat="1" ht="17.25" customHeight="1" x14ac:dyDescent="0.2">
      <c r="A57" s="727"/>
      <c r="B57" s="297" t="s">
        <v>69</v>
      </c>
      <c r="C57" s="298">
        <v>190</v>
      </c>
      <c r="D57" s="299">
        <v>7.9</v>
      </c>
      <c r="E57" s="299">
        <f>D57/0.6</f>
        <v>13.166666666666668</v>
      </c>
      <c r="F57" s="300">
        <v>68</v>
      </c>
      <c r="G57" s="301">
        <v>0.2</v>
      </c>
      <c r="H57" s="302">
        <f t="shared" ref="H57:H69" si="1">ROUND((11.93-(6.82*G57))*E57+1.03*G57*F57,0)</f>
        <v>153</v>
      </c>
      <c r="I57" s="303">
        <f t="shared" ref="I57:I71" si="2">IF((F57-H57)/6.25&lt;0,ROUND((F57-H57)/6.25,0),"+"&amp;ROUND(((F57-H57)/6.25),0))</f>
        <v>-14</v>
      </c>
      <c r="J57" s="302"/>
      <c r="K57" s="302">
        <f>11/0.19</f>
        <v>57.89473684210526</v>
      </c>
      <c r="L57" s="302">
        <f>18/0.19</f>
        <v>94.73684210526315</v>
      </c>
      <c r="M57" s="302">
        <f t="shared" ref="M57:M83" si="3">IF(AND(U57&lt;&gt;"",F57&lt;&gt;"",L57&lt;&gt;"",R57&lt;&gt;""),1000-F57-L57-R57-U57,"Fehler")</f>
        <v>651.26315789473688</v>
      </c>
      <c r="N57" s="302">
        <v>0</v>
      </c>
      <c r="O57" s="336">
        <v>0</v>
      </c>
      <c r="P57" s="302">
        <v>615</v>
      </c>
      <c r="Q57" s="302">
        <f>N57*(100-O57)/100+P57</f>
        <v>615</v>
      </c>
      <c r="R57" s="302">
        <v>5</v>
      </c>
      <c r="S57" s="302">
        <v>47</v>
      </c>
      <c r="T57" s="302"/>
      <c r="U57" s="302">
        <v>181</v>
      </c>
      <c r="V57" s="299">
        <v>2.1</v>
      </c>
      <c r="W57" s="299">
        <f>0.4/0.19</f>
        <v>2.1052631578947367</v>
      </c>
      <c r="X57" s="299">
        <f>0.1/0.19</f>
        <v>0.52631578947368418</v>
      </c>
      <c r="Y57" s="299">
        <f>0.2/0.19</f>
        <v>1.0526315789473684</v>
      </c>
      <c r="Z57" s="304">
        <f>3.4/0.19</f>
        <v>17.894736842105264</v>
      </c>
      <c r="AA57" s="293" t="s">
        <v>309</v>
      </c>
      <c r="AB57" s="310">
        <v>470</v>
      </c>
      <c r="AC57" s="294"/>
      <c r="AD57" s="295" t="str">
        <f>IF(COUNTA(B57:AA57)&lt;21,"x","")</f>
        <v/>
      </c>
    </row>
    <row r="58" spans="1:38" s="296" customFormat="1" ht="17.25" customHeight="1" x14ac:dyDescent="0.2">
      <c r="A58" s="727" t="s">
        <v>529</v>
      </c>
      <c r="B58" s="297" t="s">
        <v>444</v>
      </c>
      <c r="C58" s="298">
        <v>172</v>
      </c>
      <c r="D58" s="299">
        <v>6.1</v>
      </c>
      <c r="E58" s="299">
        <v>10.199999999999999</v>
      </c>
      <c r="F58" s="300">
        <v>158</v>
      </c>
      <c r="G58" s="301">
        <v>0.1</v>
      </c>
      <c r="H58" s="302">
        <f t="shared" si="1"/>
        <v>131</v>
      </c>
      <c r="I58" s="303" t="str">
        <f t="shared" si="2"/>
        <v>+4</v>
      </c>
      <c r="J58" s="302"/>
      <c r="K58" s="302">
        <v>301</v>
      </c>
      <c r="L58" s="302">
        <v>522</v>
      </c>
      <c r="M58" s="302">
        <f t="shared" si="3"/>
        <v>190</v>
      </c>
      <c r="N58" s="302">
        <v>0</v>
      </c>
      <c r="O58" s="336">
        <v>0</v>
      </c>
      <c r="P58" s="302">
        <v>80</v>
      </c>
      <c r="Q58" s="302">
        <f t="shared" ref="Q58:Q121" si="4">N58*(100-O58)/100+P58</f>
        <v>80</v>
      </c>
      <c r="R58" s="302">
        <v>32</v>
      </c>
      <c r="S58" s="302">
        <v>238</v>
      </c>
      <c r="T58" s="302"/>
      <c r="U58" s="302">
        <v>98</v>
      </c>
      <c r="V58" s="299">
        <v>4.4000000000000004</v>
      </c>
      <c r="W58" s="299">
        <v>4.4000000000000004</v>
      </c>
      <c r="X58" s="299">
        <v>0.6</v>
      </c>
      <c r="Y58" s="299">
        <v>2.4</v>
      </c>
      <c r="Z58" s="304">
        <v>26.4</v>
      </c>
      <c r="AA58" s="293"/>
      <c r="AB58" s="310">
        <f>14*Z58+3.5</f>
        <v>373.09999999999997</v>
      </c>
      <c r="AC58" s="294"/>
      <c r="AD58" s="295"/>
    </row>
    <row r="59" spans="1:38" s="296" customFormat="1" ht="17.25" customHeight="1" x14ac:dyDescent="0.2">
      <c r="A59" s="727" t="s">
        <v>529</v>
      </c>
      <c r="B59" s="297" t="s">
        <v>445</v>
      </c>
      <c r="C59" s="298">
        <v>220</v>
      </c>
      <c r="D59" s="299">
        <v>5.75</v>
      </c>
      <c r="E59" s="299">
        <v>9.76</v>
      </c>
      <c r="F59" s="300">
        <v>134</v>
      </c>
      <c r="G59" s="301">
        <v>0.15</v>
      </c>
      <c r="H59" s="302">
        <f t="shared" si="1"/>
        <v>127</v>
      </c>
      <c r="I59" s="303" t="str">
        <f t="shared" si="2"/>
        <v>+1</v>
      </c>
      <c r="J59" s="302"/>
      <c r="K59" s="302">
        <v>340</v>
      </c>
      <c r="L59" s="302">
        <v>559</v>
      </c>
      <c r="M59" s="302">
        <f t="shared" si="3"/>
        <v>202</v>
      </c>
      <c r="N59" s="302">
        <v>0</v>
      </c>
      <c r="O59" s="336">
        <v>0</v>
      </c>
      <c r="P59" s="302">
        <v>80</v>
      </c>
      <c r="Q59" s="302">
        <f t="shared" si="4"/>
        <v>80</v>
      </c>
      <c r="R59" s="302">
        <v>28</v>
      </c>
      <c r="S59" s="302">
        <v>316</v>
      </c>
      <c r="T59" s="302"/>
      <c r="U59" s="302">
        <v>77</v>
      </c>
      <c r="V59" s="299">
        <v>4.4000000000000004</v>
      </c>
      <c r="W59" s="299">
        <v>4.4000000000000004</v>
      </c>
      <c r="X59" s="299">
        <v>0.6</v>
      </c>
      <c r="Y59" s="299">
        <v>2.4</v>
      </c>
      <c r="Z59" s="304">
        <v>26.4</v>
      </c>
      <c r="AA59" s="293"/>
      <c r="AB59" s="310">
        <f t="shared" ref="AB59:AB68" si="5">14*Z59+3.5</f>
        <v>373.09999999999997</v>
      </c>
      <c r="AC59" s="294"/>
      <c r="AD59" s="295"/>
    </row>
    <row r="60" spans="1:38" s="296" customFormat="1" ht="17.25" customHeight="1" x14ac:dyDescent="0.2">
      <c r="A60" s="727" t="s">
        <v>529</v>
      </c>
      <c r="B60" s="297" t="s">
        <v>446</v>
      </c>
      <c r="C60" s="298">
        <f>C59+C59-C58</f>
        <v>268</v>
      </c>
      <c r="D60" s="299">
        <f>D59+D59-D58</f>
        <v>5.4</v>
      </c>
      <c r="E60" s="299">
        <f>E59+E59-E58</f>
        <v>9.32</v>
      </c>
      <c r="F60" s="300">
        <f>F59+F59-F58</f>
        <v>110</v>
      </c>
      <c r="G60" s="301">
        <v>0.15</v>
      </c>
      <c r="H60" s="302">
        <f t="shared" si="1"/>
        <v>119</v>
      </c>
      <c r="I60" s="303">
        <f t="shared" si="2"/>
        <v>-1</v>
      </c>
      <c r="J60" s="302"/>
      <c r="K60" s="302">
        <f>K59+K59-K58</f>
        <v>379</v>
      </c>
      <c r="L60" s="302">
        <f>L59+L59-L58</f>
        <v>596</v>
      </c>
      <c r="M60" s="302">
        <f t="shared" si="3"/>
        <v>186</v>
      </c>
      <c r="N60" s="302">
        <v>0</v>
      </c>
      <c r="O60" s="336">
        <v>0</v>
      </c>
      <c r="P60" s="302">
        <v>80</v>
      </c>
      <c r="Q60" s="302">
        <f t="shared" si="4"/>
        <v>80</v>
      </c>
      <c r="R60" s="302">
        <v>28</v>
      </c>
      <c r="S60" s="302">
        <f>S59+S59-S58</f>
        <v>394</v>
      </c>
      <c r="T60" s="302"/>
      <c r="U60" s="302">
        <v>80</v>
      </c>
      <c r="V60" s="299">
        <v>4.4000000000000004</v>
      </c>
      <c r="W60" s="299">
        <v>4.4000000000000004</v>
      </c>
      <c r="X60" s="299">
        <v>0.6</v>
      </c>
      <c r="Y60" s="299">
        <v>1.9</v>
      </c>
      <c r="Z60" s="304">
        <v>26.7</v>
      </c>
      <c r="AA60" s="293"/>
      <c r="AB60" s="310">
        <f t="shared" si="5"/>
        <v>377.3</v>
      </c>
      <c r="AC60" s="294"/>
      <c r="AD60" s="295"/>
    </row>
    <row r="61" spans="1:38" s="296" customFormat="1" ht="17.25" customHeight="1" x14ac:dyDescent="0.2">
      <c r="A61" s="727" t="s">
        <v>529</v>
      </c>
      <c r="B61" s="297" t="s">
        <v>447</v>
      </c>
      <c r="C61" s="298">
        <v>180</v>
      </c>
      <c r="D61" s="299">
        <v>6.66</v>
      </c>
      <c r="E61" s="299">
        <v>10.99</v>
      </c>
      <c r="F61" s="300">
        <v>157</v>
      </c>
      <c r="G61" s="301">
        <v>0.1</v>
      </c>
      <c r="H61" s="302">
        <f t="shared" si="1"/>
        <v>140</v>
      </c>
      <c r="I61" s="303" t="str">
        <f t="shared" si="2"/>
        <v>+3</v>
      </c>
      <c r="J61" s="302"/>
      <c r="K61" s="302">
        <v>238</v>
      </c>
      <c r="L61" s="302">
        <v>425</v>
      </c>
      <c r="M61" s="302">
        <f t="shared" si="3"/>
        <v>302</v>
      </c>
      <c r="N61" s="302">
        <v>0</v>
      </c>
      <c r="O61" s="336">
        <v>0</v>
      </c>
      <c r="P61" s="302">
        <v>140</v>
      </c>
      <c r="Q61" s="302">
        <f t="shared" si="4"/>
        <v>140</v>
      </c>
      <c r="R61" s="302">
        <v>29</v>
      </c>
      <c r="S61" s="302">
        <v>208</v>
      </c>
      <c r="T61" s="302"/>
      <c r="U61" s="302">
        <v>87</v>
      </c>
      <c r="V61" s="299">
        <v>6.9</v>
      </c>
      <c r="W61" s="299">
        <v>4.3</v>
      </c>
      <c r="X61" s="299">
        <v>0.7</v>
      </c>
      <c r="Y61" s="299">
        <v>2.1</v>
      </c>
      <c r="Z61" s="304">
        <v>23.9</v>
      </c>
      <c r="AA61" s="293"/>
      <c r="AB61" s="310">
        <f t="shared" si="5"/>
        <v>338.09999999999997</v>
      </c>
      <c r="AC61" s="294"/>
      <c r="AD61" s="295"/>
    </row>
    <row r="62" spans="1:38" s="296" customFormat="1" ht="17.25" customHeight="1" x14ac:dyDescent="0.2">
      <c r="A62" s="727" t="s">
        <v>529</v>
      </c>
      <c r="B62" s="297" t="s">
        <v>448</v>
      </c>
      <c r="C62" s="298">
        <v>240</v>
      </c>
      <c r="D62" s="299">
        <v>6.2</v>
      </c>
      <c r="E62" s="299">
        <v>10.4</v>
      </c>
      <c r="F62" s="300">
        <v>168</v>
      </c>
      <c r="G62" s="301">
        <v>0.15</v>
      </c>
      <c r="H62" s="302">
        <f t="shared" si="1"/>
        <v>139</v>
      </c>
      <c r="I62" s="303" t="str">
        <f t="shared" si="2"/>
        <v>+5</v>
      </c>
      <c r="J62" s="302"/>
      <c r="K62" s="302">
        <v>294</v>
      </c>
      <c r="L62" s="302">
        <v>502</v>
      </c>
      <c r="M62" s="302">
        <f t="shared" si="3"/>
        <v>221</v>
      </c>
      <c r="N62" s="302">
        <v>0</v>
      </c>
      <c r="O62" s="336">
        <v>0</v>
      </c>
      <c r="P62" s="302">
        <v>130</v>
      </c>
      <c r="Q62" s="302">
        <f t="shared" si="4"/>
        <v>130</v>
      </c>
      <c r="R62" s="302">
        <v>27</v>
      </c>
      <c r="S62" s="302">
        <v>237</v>
      </c>
      <c r="T62" s="302"/>
      <c r="U62" s="302">
        <v>82</v>
      </c>
      <c r="V62" s="299">
        <v>6.8</v>
      </c>
      <c r="W62" s="299">
        <v>2.9</v>
      </c>
      <c r="X62" s="299">
        <v>0.6</v>
      </c>
      <c r="Y62" s="299">
        <v>2</v>
      </c>
      <c r="Z62" s="304">
        <v>25</v>
      </c>
      <c r="AA62" s="293"/>
      <c r="AB62" s="310">
        <f t="shared" si="5"/>
        <v>353.5</v>
      </c>
      <c r="AC62" s="294"/>
      <c r="AD62" s="295"/>
    </row>
    <row r="63" spans="1:38" s="296" customFormat="1" ht="17.25" customHeight="1" x14ac:dyDescent="0.2">
      <c r="A63" s="727" t="s">
        <v>529</v>
      </c>
      <c r="B63" s="297" t="s">
        <v>449</v>
      </c>
      <c r="C63" s="298">
        <v>270</v>
      </c>
      <c r="D63" s="299">
        <v>5.97</v>
      </c>
      <c r="E63" s="299">
        <v>10.029999999999999</v>
      </c>
      <c r="F63" s="300">
        <v>132</v>
      </c>
      <c r="G63" s="301">
        <v>0.15</v>
      </c>
      <c r="H63" s="302">
        <f t="shared" si="1"/>
        <v>130</v>
      </c>
      <c r="I63" s="303" t="str">
        <f t="shared" si="2"/>
        <v>+0</v>
      </c>
      <c r="J63" s="302"/>
      <c r="K63" s="302">
        <v>296</v>
      </c>
      <c r="L63" s="302">
        <f>L62+L62-L61</f>
        <v>579</v>
      </c>
      <c r="M63" s="302">
        <f t="shared" si="3"/>
        <v>184</v>
      </c>
      <c r="N63" s="302">
        <v>0</v>
      </c>
      <c r="O63" s="336">
        <v>0</v>
      </c>
      <c r="P63" s="302">
        <v>120</v>
      </c>
      <c r="Q63" s="302">
        <f t="shared" si="4"/>
        <v>120</v>
      </c>
      <c r="R63" s="302">
        <v>27</v>
      </c>
      <c r="S63" s="302">
        <v>229</v>
      </c>
      <c r="T63" s="302"/>
      <c r="U63" s="302">
        <v>78</v>
      </c>
      <c r="V63" s="299">
        <v>7</v>
      </c>
      <c r="W63" s="299">
        <v>2.1</v>
      </c>
      <c r="X63" s="299">
        <v>0.5</v>
      </c>
      <c r="Y63" s="299">
        <v>2</v>
      </c>
      <c r="Z63" s="304">
        <v>27.4</v>
      </c>
      <c r="AA63" s="293"/>
      <c r="AB63" s="310">
        <f t="shared" si="5"/>
        <v>387.09999999999997</v>
      </c>
      <c r="AC63" s="294"/>
      <c r="AD63" s="295"/>
    </row>
    <row r="64" spans="1:38" s="296" customFormat="1" ht="17.25" customHeight="1" x14ac:dyDescent="0.2">
      <c r="A64" s="727" t="s">
        <v>529</v>
      </c>
      <c r="B64" s="297" t="s">
        <v>450</v>
      </c>
      <c r="C64" s="298">
        <v>180</v>
      </c>
      <c r="D64" s="299">
        <v>6.49</v>
      </c>
      <c r="E64" s="299">
        <v>10.7</v>
      </c>
      <c r="F64" s="300">
        <v>201</v>
      </c>
      <c r="G64" s="301">
        <v>0.1</v>
      </c>
      <c r="H64" s="302">
        <f t="shared" si="1"/>
        <v>141</v>
      </c>
      <c r="I64" s="303" t="str">
        <f t="shared" si="2"/>
        <v>+10</v>
      </c>
      <c r="J64" s="302"/>
      <c r="K64" s="302">
        <v>261</v>
      </c>
      <c r="L64" s="302">
        <v>387</v>
      </c>
      <c r="M64" s="302">
        <f t="shared" si="3"/>
        <v>253</v>
      </c>
      <c r="N64" s="302">
        <v>0</v>
      </c>
      <c r="O64" s="336">
        <v>0</v>
      </c>
      <c r="P64" s="302">
        <v>90</v>
      </c>
      <c r="Q64" s="302">
        <f t="shared" si="4"/>
        <v>90</v>
      </c>
      <c r="R64" s="302">
        <v>35</v>
      </c>
      <c r="S64" s="302">
        <v>183</v>
      </c>
      <c r="T64" s="302"/>
      <c r="U64" s="302">
        <v>124</v>
      </c>
      <c r="V64" s="299">
        <v>6.2</v>
      </c>
      <c r="W64" s="299">
        <v>3.8</v>
      </c>
      <c r="X64" s="299">
        <v>0.5</v>
      </c>
      <c r="Y64" s="299">
        <v>1.9</v>
      </c>
      <c r="Z64" s="304">
        <v>28.8</v>
      </c>
      <c r="AA64" s="293"/>
      <c r="AB64" s="310">
        <f t="shared" si="5"/>
        <v>406.7</v>
      </c>
      <c r="AC64" s="294"/>
      <c r="AD64" s="295"/>
    </row>
    <row r="65" spans="1:36" s="296" customFormat="1" ht="17.25" customHeight="1" x14ac:dyDescent="0.2">
      <c r="A65" s="727" t="s">
        <v>529</v>
      </c>
      <c r="B65" s="297" t="s">
        <v>451</v>
      </c>
      <c r="C65" s="298">
        <v>240</v>
      </c>
      <c r="D65" s="299">
        <v>6.1</v>
      </c>
      <c r="E65" s="299">
        <v>10.199999999999999</v>
      </c>
      <c r="F65" s="300">
        <v>162</v>
      </c>
      <c r="G65" s="301">
        <v>0.15</v>
      </c>
      <c r="H65" s="302">
        <f t="shared" si="1"/>
        <v>136</v>
      </c>
      <c r="I65" s="303" t="str">
        <f t="shared" si="2"/>
        <v>+4</v>
      </c>
      <c r="J65" s="302"/>
      <c r="K65" s="302">
        <v>294</v>
      </c>
      <c r="L65" s="302">
        <v>450</v>
      </c>
      <c r="M65" s="302">
        <f t="shared" si="3"/>
        <v>248</v>
      </c>
      <c r="N65" s="302">
        <v>0</v>
      </c>
      <c r="O65" s="336">
        <v>0</v>
      </c>
      <c r="P65" s="302">
        <v>90</v>
      </c>
      <c r="Q65" s="302">
        <f t="shared" si="4"/>
        <v>90</v>
      </c>
      <c r="R65" s="302">
        <v>30</v>
      </c>
      <c r="S65" s="302">
        <v>226</v>
      </c>
      <c r="T65" s="302"/>
      <c r="U65" s="302">
        <v>110</v>
      </c>
      <c r="V65" s="299">
        <v>6.2</v>
      </c>
      <c r="W65" s="299">
        <v>3.8</v>
      </c>
      <c r="X65" s="299">
        <v>0.5</v>
      </c>
      <c r="Y65" s="299">
        <v>1.9</v>
      </c>
      <c r="Z65" s="304">
        <v>28.8</v>
      </c>
      <c r="AA65" s="293"/>
      <c r="AB65" s="310">
        <f t="shared" si="5"/>
        <v>406.7</v>
      </c>
      <c r="AC65" s="294"/>
      <c r="AD65" s="295"/>
    </row>
    <row r="66" spans="1:36" s="296" customFormat="1" ht="17.25" customHeight="1" x14ac:dyDescent="0.2">
      <c r="A66" s="727" t="s">
        <v>529</v>
      </c>
      <c r="B66" s="297" t="s">
        <v>452</v>
      </c>
      <c r="C66" s="298">
        <v>270</v>
      </c>
      <c r="D66" s="299">
        <v>5.9</v>
      </c>
      <c r="E66" s="299">
        <v>9.9</v>
      </c>
      <c r="F66" s="300">
        <v>164</v>
      </c>
      <c r="G66" s="301">
        <v>0.15</v>
      </c>
      <c r="H66" s="302">
        <f t="shared" si="1"/>
        <v>133</v>
      </c>
      <c r="I66" s="303" t="str">
        <f t="shared" si="2"/>
        <v>+5</v>
      </c>
      <c r="J66" s="302"/>
      <c r="K66" s="302">
        <v>300</v>
      </c>
      <c r="L66" s="302">
        <v>479</v>
      </c>
      <c r="M66" s="302">
        <f t="shared" si="3"/>
        <v>211</v>
      </c>
      <c r="N66" s="302">
        <v>0</v>
      </c>
      <c r="O66" s="336">
        <v>0</v>
      </c>
      <c r="P66" s="302">
        <v>90</v>
      </c>
      <c r="Q66" s="302">
        <f t="shared" si="4"/>
        <v>90</v>
      </c>
      <c r="R66" s="302">
        <v>29</v>
      </c>
      <c r="S66" s="302">
        <v>234</v>
      </c>
      <c r="T66" s="302"/>
      <c r="U66" s="302">
        <v>117</v>
      </c>
      <c r="V66" s="299">
        <v>6.2</v>
      </c>
      <c r="W66" s="299">
        <v>3.8</v>
      </c>
      <c r="X66" s="299">
        <v>0.5</v>
      </c>
      <c r="Y66" s="299">
        <v>1.9</v>
      </c>
      <c r="Z66" s="304">
        <v>28.8</v>
      </c>
      <c r="AA66" s="293"/>
      <c r="AB66" s="310">
        <f t="shared" si="5"/>
        <v>406.7</v>
      </c>
      <c r="AC66" s="294"/>
      <c r="AD66" s="295"/>
    </row>
    <row r="67" spans="1:36" s="296" customFormat="1" ht="17.25" customHeight="1" x14ac:dyDescent="0.2">
      <c r="A67" s="727" t="s">
        <v>529</v>
      </c>
      <c r="B67" s="297" t="s">
        <v>453</v>
      </c>
      <c r="C67" s="298">
        <v>230</v>
      </c>
      <c r="D67" s="299">
        <f>(5.74+6.41)/2</f>
        <v>6.0750000000000002</v>
      </c>
      <c r="E67" s="299">
        <f>(10.58+9.72)/2</f>
        <v>10.15</v>
      </c>
      <c r="F67" s="300">
        <f>(177+148)/2</f>
        <v>162.5</v>
      </c>
      <c r="G67" s="301">
        <v>0.1</v>
      </c>
      <c r="H67" s="302">
        <f t="shared" si="1"/>
        <v>131</v>
      </c>
      <c r="I67" s="303" t="str">
        <f t="shared" si="2"/>
        <v>+5</v>
      </c>
      <c r="J67" s="302"/>
      <c r="K67" s="302">
        <f>(255+316)/2</f>
        <v>285.5</v>
      </c>
      <c r="L67" s="302">
        <f>(417+522)/2</f>
        <v>469.5</v>
      </c>
      <c r="M67" s="302">
        <f t="shared" si="3"/>
        <v>224.5</v>
      </c>
      <c r="N67" s="302">
        <v>0</v>
      </c>
      <c r="O67" s="336">
        <v>0</v>
      </c>
      <c r="P67" s="302">
        <v>80</v>
      </c>
      <c r="Q67" s="302">
        <f t="shared" si="4"/>
        <v>80</v>
      </c>
      <c r="R67" s="302">
        <f>(31+33)/2</f>
        <v>32</v>
      </c>
      <c r="S67" s="302">
        <f>(217+279)/2</f>
        <v>248</v>
      </c>
      <c r="T67" s="302"/>
      <c r="U67" s="302">
        <f>(131+92)/2</f>
        <v>111.5</v>
      </c>
      <c r="V67" s="299">
        <f>(8.8+8.1)/2</f>
        <v>8.4499999999999993</v>
      </c>
      <c r="W67" s="299">
        <f>(5.1+5)/2</f>
        <v>5.05</v>
      </c>
      <c r="X67" s="299">
        <f>(1.4+1.2)/2</f>
        <v>1.2999999999999998</v>
      </c>
      <c r="Y67" s="299">
        <f>(2.3+2.5)/2</f>
        <v>2.4</v>
      </c>
      <c r="Z67" s="304">
        <f>(31.2+19.8)/2</f>
        <v>25.5</v>
      </c>
      <c r="AA67" s="293"/>
      <c r="AB67" s="310">
        <f t="shared" si="5"/>
        <v>360.5</v>
      </c>
      <c r="AC67" s="294"/>
      <c r="AD67" s="295"/>
    </row>
    <row r="68" spans="1:36" s="296" customFormat="1" ht="17.25" customHeight="1" x14ac:dyDescent="0.2">
      <c r="A68" s="727" t="s">
        <v>529</v>
      </c>
      <c r="B68" s="297" t="s">
        <v>454</v>
      </c>
      <c r="C68" s="298">
        <v>250</v>
      </c>
      <c r="D68" s="299">
        <f>(5.23+5.74)/2</f>
        <v>5.4850000000000003</v>
      </c>
      <c r="E68" s="299">
        <f>(9.65+9)/2</f>
        <v>9.3249999999999993</v>
      </c>
      <c r="F68" s="300">
        <f>(155+128)/2</f>
        <v>141.5</v>
      </c>
      <c r="G68" s="301">
        <v>0.15</v>
      </c>
      <c r="H68" s="302">
        <f t="shared" si="1"/>
        <v>124</v>
      </c>
      <c r="I68" s="303" t="str">
        <f t="shared" si="2"/>
        <v>+3</v>
      </c>
      <c r="J68" s="302"/>
      <c r="K68" s="302">
        <f>(277+395)/2</f>
        <v>336</v>
      </c>
      <c r="L68" s="302">
        <f>(425+559)/2</f>
        <v>492</v>
      </c>
      <c r="M68" s="302">
        <f t="shared" si="3"/>
        <v>215</v>
      </c>
      <c r="N68" s="302">
        <v>0</v>
      </c>
      <c r="O68" s="336">
        <v>0</v>
      </c>
      <c r="P68" s="302">
        <v>70</v>
      </c>
      <c r="Q68" s="302">
        <f t="shared" si="4"/>
        <v>70</v>
      </c>
      <c r="R68" s="302">
        <f>(21+35)/2</f>
        <v>28</v>
      </c>
      <c r="S68" s="302">
        <f>(248+335)/2</f>
        <v>291.5</v>
      </c>
      <c r="T68" s="302"/>
      <c r="U68" s="302">
        <f>(81+166)/2</f>
        <v>123.5</v>
      </c>
      <c r="V68" s="299">
        <f>(7.8+9.2)/2</f>
        <v>8.5</v>
      </c>
      <c r="W68" s="299">
        <f>(5.5+4.9)/2</f>
        <v>5.2</v>
      </c>
      <c r="X68" s="299">
        <f>(1.2+1.5)/2</f>
        <v>1.35</v>
      </c>
      <c r="Y68" s="299">
        <f>(2.5+3.8)/2</f>
        <v>3.15</v>
      </c>
      <c r="Z68" s="304">
        <f>(26.8+12.1)/2</f>
        <v>19.45</v>
      </c>
      <c r="AA68" s="293"/>
      <c r="AB68" s="310">
        <f t="shared" si="5"/>
        <v>275.8</v>
      </c>
      <c r="AC68" s="294"/>
      <c r="AD68" s="295"/>
    </row>
    <row r="69" spans="1:36" s="296" customFormat="1" ht="17.25" customHeight="1" x14ac:dyDescent="0.2">
      <c r="A69" s="727"/>
      <c r="B69" s="297" t="s">
        <v>169</v>
      </c>
      <c r="C69" s="298">
        <v>120</v>
      </c>
      <c r="D69" s="299">
        <v>7.7</v>
      </c>
      <c r="E69" s="299">
        <v>12.15</v>
      </c>
      <c r="F69" s="300">
        <v>100</v>
      </c>
      <c r="G69" s="301">
        <v>0.15</v>
      </c>
      <c r="H69" s="302">
        <f t="shared" si="1"/>
        <v>148</v>
      </c>
      <c r="I69" s="303">
        <f t="shared" si="2"/>
        <v>-8</v>
      </c>
      <c r="J69" s="302"/>
      <c r="K69" s="302">
        <v>95</v>
      </c>
      <c r="L69" s="302">
        <v>96</v>
      </c>
      <c r="M69" s="302">
        <f t="shared" si="3"/>
        <v>694</v>
      </c>
      <c r="N69" s="302">
        <v>0</v>
      </c>
      <c r="O69" s="336">
        <v>0</v>
      </c>
      <c r="P69" s="302">
        <v>500</v>
      </c>
      <c r="Q69" s="302">
        <f t="shared" si="4"/>
        <v>500</v>
      </c>
      <c r="R69" s="302">
        <v>15</v>
      </c>
      <c r="S69" s="302">
        <v>95</v>
      </c>
      <c r="T69" s="302"/>
      <c r="U69" s="302">
        <v>95</v>
      </c>
      <c r="V69" s="299">
        <v>3.5</v>
      </c>
      <c r="W69" s="299">
        <v>3.5</v>
      </c>
      <c r="X69" s="299">
        <v>3.5</v>
      </c>
      <c r="Y69" s="299">
        <v>1.5</v>
      </c>
      <c r="Z69" s="304">
        <v>26</v>
      </c>
      <c r="AA69" s="293" t="s">
        <v>309</v>
      </c>
      <c r="AB69" s="310" t="s">
        <v>309</v>
      </c>
      <c r="AC69" s="294"/>
      <c r="AD69" s="295" t="str">
        <f t="shared" ref="AD69:AD76" si="6">IF(COUNTA(B69:AA69)&lt;21,"x","")</f>
        <v/>
      </c>
    </row>
    <row r="70" spans="1:36" s="296" customFormat="1" ht="17.25" customHeight="1" x14ac:dyDescent="0.2">
      <c r="A70" s="727"/>
      <c r="B70" s="297" t="s">
        <v>70</v>
      </c>
      <c r="C70" s="298">
        <v>220</v>
      </c>
      <c r="D70" s="299">
        <v>8.5</v>
      </c>
      <c r="E70" s="299">
        <v>13.1</v>
      </c>
      <c r="F70" s="300">
        <v>96</v>
      </c>
      <c r="G70" s="301">
        <v>0.35</v>
      </c>
      <c r="H70" s="302">
        <f t="shared" ref="H70:H83" si="7">ROUND((11.93-(6.82*G70))*E70+1.03*G70*F70,0)</f>
        <v>160</v>
      </c>
      <c r="I70" s="303">
        <f t="shared" si="2"/>
        <v>-10</v>
      </c>
      <c r="J70" s="302"/>
      <c r="K70" s="302">
        <v>45</v>
      </c>
      <c r="L70" s="302">
        <v>75</v>
      </c>
      <c r="M70" s="302">
        <f t="shared" si="3"/>
        <v>764</v>
      </c>
      <c r="N70" s="302">
        <v>710</v>
      </c>
      <c r="O70" s="336">
        <v>0.6</v>
      </c>
      <c r="P70" s="302">
        <v>30</v>
      </c>
      <c r="Q70" s="302">
        <f t="shared" si="4"/>
        <v>735.74</v>
      </c>
      <c r="R70" s="302">
        <v>5</v>
      </c>
      <c r="S70" s="302">
        <v>27</v>
      </c>
      <c r="T70" s="302"/>
      <c r="U70" s="302">
        <v>60</v>
      </c>
      <c r="V70" s="299">
        <f>0.1/0.22</f>
        <v>0.45454545454545459</v>
      </c>
      <c r="W70" s="299">
        <f>0.6/0.22</f>
        <v>2.7272727272727271</v>
      </c>
      <c r="X70" s="299">
        <f>0.1/0.22</f>
        <v>0.45454545454545459</v>
      </c>
      <c r="Y70" s="299">
        <f>0.2/0.22</f>
        <v>0.90909090909090917</v>
      </c>
      <c r="Z70" s="304">
        <f>4.7/0.22</f>
        <v>21.363636363636363</v>
      </c>
      <c r="AA70" s="293" t="s">
        <v>309</v>
      </c>
      <c r="AB70" s="310">
        <v>365</v>
      </c>
      <c r="AC70" s="294"/>
      <c r="AD70" s="295" t="str">
        <f t="shared" si="6"/>
        <v/>
      </c>
      <c r="AE70" s="296">
        <f>+S70</f>
        <v>27</v>
      </c>
      <c r="AF70" s="296">
        <f>IF(M70=0,0.0001,M70)</f>
        <v>764</v>
      </c>
      <c r="AG70" s="296">
        <v>0.1</v>
      </c>
      <c r="AH70" s="296">
        <f>+AF70*AG70</f>
        <v>76.400000000000006</v>
      </c>
      <c r="AI70" s="296">
        <f>+P70</f>
        <v>30</v>
      </c>
      <c r="AJ70" s="296">
        <f>0.9-1.3*AG70</f>
        <v>0.77</v>
      </c>
    </row>
    <row r="71" spans="1:36" s="296" customFormat="1" ht="17.25" customHeight="1" x14ac:dyDescent="0.2">
      <c r="A71" s="727" t="s">
        <v>529</v>
      </c>
      <c r="B71" s="297" t="s">
        <v>153</v>
      </c>
      <c r="C71" s="298">
        <v>150</v>
      </c>
      <c r="D71" s="299">
        <v>6.73</v>
      </c>
      <c r="E71" s="299">
        <v>11.05</v>
      </c>
      <c r="F71" s="300">
        <v>230</v>
      </c>
      <c r="G71" s="301">
        <v>0.15</v>
      </c>
      <c r="H71" s="302">
        <f t="shared" si="7"/>
        <v>156</v>
      </c>
      <c r="I71" s="303" t="str">
        <f t="shared" si="2"/>
        <v>+12</v>
      </c>
      <c r="J71" s="302"/>
      <c r="K71" s="302">
        <f>S71*1.2</f>
        <v>222</v>
      </c>
      <c r="L71" s="302">
        <f>S71*1.9</f>
        <v>351.5</v>
      </c>
      <c r="M71" s="302">
        <f t="shared" si="3"/>
        <v>278.5</v>
      </c>
      <c r="N71" s="302">
        <v>0</v>
      </c>
      <c r="O71" s="336">
        <v>0</v>
      </c>
      <c r="P71" s="302">
        <v>80</v>
      </c>
      <c r="Q71" s="302">
        <f t="shared" si="4"/>
        <v>80</v>
      </c>
      <c r="R71" s="302">
        <v>35</v>
      </c>
      <c r="S71" s="302">
        <v>185</v>
      </c>
      <c r="T71" s="302"/>
      <c r="U71" s="302">
        <v>105</v>
      </c>
      <c r="V71" s="299">
        <v>13</v>
      </c>
      <c r="W71" s="299">
        <v>4.5</v>
      </c>
      <c r="X71" s="299">
        <v>0.3</v>
      </c>
      <c r="Y71" s="299">
        <v>2.4</v>
      </c>
      <c r="Z71" s="304">
        <v>36</v>
      </c>
      <c r="AA71" s="293" t="s">
        <v>309</v>
      </c>
      <c r="AB71" s="310">
        <v>500</v>
      </c>
      <c r="AC71" s="294"/>
      <c r="AD71" s="295" t="str">
        <f t="shared" si="6"/>
        <v/>
      </c>
    </row>
    <row r="72" spans="1:36" s="296" customFormat="1" ht="17.25" customHeight="1" x14ac:dyDescent="0.2">
      <c r="A72" s="727" t="s">
        <v>529</v>
      </c>
      <c r="B72" s="297" t="s">
        <v>71</v>
      </c>
      <c r="C72" s="298">
        <v>160</v>
      </c>
      <c r="D72" s="299">
        <v>6.37</v>
      </c>
      <c r="E72" s="299">
        <v>10.58</v>
      </c>
      <c r="F72" s="300">
        <v>215</v>
      </c>
      <c r="G72" s="301">
        <v>0.15</v>
      </c>
      <c r="H72" s="302">
        <f t="shared" si="7"/>
        <v>149</v>
      </c>
      <c r="I72" s="303" t="str">
        <f t="shared" ref="I72:I83" si="8">IF((F72-H72)/6.25&lt;0,ROUND((F72-H72)/6.25,0),"+"&amp;ROUND(((F72-H72)/6.25),0))</f>
        <v>+11</v>
      </c>
      <c r="J72" s="302"/>
      <c r="K72" s="302">
        <v>270</v>
      </c>
      <c r="L72" s="302">
        <v>435</v>
      </c>
      <c r="M72" s="302">
        <f t="shared" si="3"/>
        <v>220</v>
      </c>
      <c r="N72" s="302">
        <v>0</v>
      </c>
      <c r="O72" s="336">
        <v>0</v>
      </c>
      <c r="P72" s="302">
        <v>70</v>
      </c>
      <c r="Q72" s="302">
        <f t="shared" si="4"/>
        <v>70</v>
      </c>
      <c r="R72" s="302">
        <v>30</v>
      </c>
      <c r="S72" s="302">
        <v>220</v>
      </c>
      <c r="T72" s="302"/>
      <c r="U72" s="302">
        <v>100</v>
      </c>
      <c r="V72" s="299">
        <v>10</v>
      </c>
      <c r="W72" s="299">
        <v>4.4000000000000004</v>
      </c>
      <c r="X72" s="299">
        <v>0.5</v>
      </c>
      <c r="Y72" s="299">
        <v>2.2999999999999998</v>
      </c>
      <c r="Z72" s="304">
        <v>35</v>
      </c>
      <c r="AA72" s="293" t="s">
        <v>309</v>
      </c>
      <c r="AB72" s="310">
        <v>500</v>
      </c>
      <c r="AC72" s="294"/>
      <c r="AD72" s="295" t="str">
        <f t="shared" si="6"/>
        <v/>
      </c>
    </row>
    <row r="73" spans="1:36" s="296" customFormat="1" ht="17.25" customHeight="1" x14ac:dyDescent="0.2">
      <c r="A73" s="727" t="s">
        <v>529</v>
      </c>
      <c r="B73" s="297" t="s">
        <v>73</v>
      </c>
      <c r="C73" s="298">
        <v>170</v>
      </c>
      <c r="D73" s="299">
        <v>5.9</v>
      </c>
      <c r="E73" s="299">
        <v>9.94</v>
      </c>
      <c r="F73" s="300">
        <v>205</v>
      </c>
      <c r="G73" s="301">
        <v>0.15</v>
      </c>
      <c r="H73" s="302">
        <f t="shared" si="7"/>
        <v>140</v>
      </c>
      <c r="I73" s="303" t="str">
        <f t="shared" si="8"/>
        <v>+10</v>
      </c>
      <c r="J73" s="302"/>
      <c r="K73" s="302">
        <f>S73*1.2</f>
        <v>288</v>
      </c>
      <c r="L73" s="302">
        <f>S73*1.9</f>
        <v>456</v>
      </c>
      <c r="M73" s="302">
        <f t="shared" si="3"/>
        <v>204</v>
      </c>
      <c r="N73" s="302">
        <v>0</v>
      </c>
      <c r="O73" s="336">
        <v>0</v>
      </c>
      <c r="P73" s="302">
        <v>70</v>
      </c>
      <c r="Q73" s="302">
        <f t="shared" si="4"/>
        <v>70</v>
      </c>
      <c r="R73" s="302">
        <v>30</v>
      </c>
      <c r="S73" s="302">
        <v>240</v>
      </c>
      <c r="T73" s="302"/>
      <c r="U73" s="302">
        <v>105</v>
      </c>
      <c r="V73" s="299">
        <f>2.4/0.21</f>
        <v>11.428571428571429</v>
      </c>
      <c r="W73" s="299">
        <f>0.9/0.21</f>
        <v>4.2857142857142856</v>
      </c>
      <c r="X73" s="299">
        <f>0.15/0.21</f>
        <v>0.7142857142857143</v>
      </c>
      <c r="Y73" s="299">
        <f>0.5/0.21</f>
        <v>2.3809523809523809</v>
      </c>
      <c r="Z73" s="304">
        <f>6.7/0.21</f>
        <v>31.904761904761905</v>
      </c>
      <c r="AA73" s="293" t="s">
        <v>309</v>
      </c>
      <c r="AB73" s="310">
        <v>500</v>
      </c>
      <c r="AC73" s="294"/>
      <c r="AD73" s="295" t="str">
        <f t="shared" si="6"/>
        <v/>
      </c>
    </row>
    <row r="74" spans="1:36" s="296" customFormat="1" ht="17.25" customHeight="1" x14ac:dyDescent="0.2">
      <c r="A74" s="727" t="s">
        <v>529</v>
      </c>
      <c r="B74" s="297" t="s">
        <v>72</v>
      </c>
      <c r="C74" s="298">
        <v>180</v>
      </c>
      <c r="D74" s="299">
        <v>5.47</v>
      </c>
      <c r="E74" s="299">
        <v>9.33</v>
      </c>
      <c r="F74" s="300">
        <v>170</v>
      </c>
      <c r="G74" s="301">
        <v>0.2</v>
      </c>
      <c r="H74" s="302">
        <f t="shared" si="7"/>
        <v>134</v>
      </c>
      <c r="I74" s="303" t="str">
        <f t="shared" si="8"/>
        <v>+6</v>
      </c>
      <c r="J74" s="302"/>
      <c r="K74" s="302">
        <v>305</v>
      </c>
      <c r="L74" s="302">
        <v>520</v>
      </c>
      <c r="M74" s="302">
        <f t="shared" si="3"/>
        <v>175</v>
      </c>
      <c r="N74" s="302">
        <v>0</v>
      </c>
      <c r="O74" s="336">
        <v>0</v>
      </c>
      <c r="P74" s="302">
        <v>70</v>
      </c>
      <c r="Q74" s="302">
        <f t="shared" si="4"/>
        <v>70</v>
      </c>
      <c r="R74" s="302">
        <v>30</v>
      </c>
      <c r="S74" s="302">
        <v>260</v>
      </c>
      <c r="T74" s="302"/>
      <c r="U74" s="302">
        <v>105</v>
      </c>
      <c r="V74" s="299">
        <v>8</v>
      </c>
      <c r="W74" s="299">
        <v>4</v>
      </c>
      <c r="X74" s="299">
        <v>0.3</v>
      </c>
      <c r="Y74" s="299">
        <v>2</v>
      </c>
      <c r="Z74" s="304">
        <v>35</v>
      </c>
      <c r="AA74" s="293" t="s">
        <v>309</v>
      </c>
      <c r="AB74" s="310" t="s">
        <v>309</v>
      </c>
      <c r="AC74" s="294"/>
      <c r="AD74" s="295" t="str">
        <f t="shared" si="6"/>
        <v/>
      </c>
    </row>
    <row r="75" spans="1:36" s="296" customFormat="1" ht="17.25" customHeight="1" x14ac:dyDescent="0.2">
      <c r="A75" s="727" t="s">
        <v>529</v>
      </c>
      <c r="B75" s="297" t="s">
        <v>154</v>
      </c>
      <c r="C75" s="298">
        <v>170</v>
      </c>
      <c r="D75" s="299">
        <v>6.2</v>
      </c>
      <c r="E75" s="299">
        <v>10.4</v>
      </c>
      <c r="F75" s="300">
        <v>240</v>
      </c>
      <c r="G75" s="301">
        <v>0.15</v>
      </c>
      <c r="H75" s="302">
        <f t="shared" si="7"/>
        <v>151</v>
      </c>
      <c r="I75" s="303" t="str">
        <f t="shared" si="8"/>
        <v>+14</v>
      </c>
      <c r="J75" s="302"/>
      <c r="K75" s="302">
        <v>285</v>
      </c>
      <c r="L75" s="302">
        <v>340</v>
      </c>
      <c r="M75" s="302">
        <f t="shared" si="3"/>
        <v>285</v>
      </c>
      <c r="N75" s="302">
        <v>0</v>
      </c>
      <c r="O75" s="336">
        <v>0</v>
      </c>
      <c r="P75" s="302">
        <v>15</v>
      </c>
      <c r="Q75" s="302">
        <f t="shared" si="4"/>
        <v>15</v>
      </c>
      <c r="R75" s="302">
        <v>30</v>
      </c>
      <c r="S75" s="302">
        <v>210</v>
      </c>
      <c r="T75" s="302"/>
      <c r="U75" s="302">
        <v>105</v>
      </c>
      <c r="V75" s="299">
        <v>18</v>
      </c>
      <c r="W75" s="299">
        <v>3</v>
      </c>
      <c r="X75" s="299">
        <v>0.5</v>
      </c>
      <c r="Y75" s="299">
        <v>3.2</v>
      </c>
      <c r="Z75" s="304">
        <v>30</v>
      </c>
      <c r="AA75" s="293" t="s">
        <v>309</v>
      </c>
      <c r="AB75" s="310" t="s">
        <v>309</v>
      </c>
      <c r="AC75" s="294"/>
      <c r="AD75" s="295" t="str">
        <f t="shared" si="6"/>
        <v/>
      </c>
    </row>
    <row r="76" spans="1:36" s="296" customFormat="1" ht="17.25" customHeight="1" x14ac:dyDescent="0.2">
      <c r="A76" s="727" t="s">
        <v>529</v>
      </c>
      <c r="B76" s="297" t="s">
        <v>155</v>
      </c>
      <c r="C76" s="298">
        <v>200</v>
      </c>
      <c r="D76" s="299">
        <v>5.45</v>
      </c>
      <c r="E76" s="299">
        <v>9.31</v>
      </c>
      <c r="F76" s="300">
        <v>190</v>
      </c>
      <c r="G76" s="301">
        <v>0.2</v>
      </c>
      <c r="H76" s="302">
        <f t="shared" si="7"/>
        <v>138</v>
      </c>
      <c r="I76" s="303" t="str">
        <f t="shared" si="8"/>
        <v>+8</v>
      </c>
      <c r="J76" s="302"/>
      <c r="K76" s="302">
        <v>330</v>
      </c>
      <c r="L76" s="302">
        <v>385</v>
      </c>
      <c r="M76" s="302">
        <f t="shared" si="3"/>
        <v>290</v>
      </c>
      <c r="N76" s="302">
        <v>0</v>
      </c>
      <c r="O76" s="336">
        <v>0</v>
      </c>
      <c r="P76" s="302">
        <v>25</v>
      </c>
      <c r="Q76" s="302">
        <f t="shared" si="4"/>
        <v>25</v>
      </c>
      <c r="R76" s="302">
        <v>30</v>
      </c>
      <c r="S76" s="302">
        <v>275</v>
      </c>
      <c r="T76" s="302"/>
      <c r="U76" s="302">
        <v>105</v>
      </c>
      <c r="V76" s="299">
        <v>20</v>
      </c>
      <c r="W76" s="299">
        <v>2.8</v>
      </c>
      <c r="X76" s="299">
        <v>1</v>
      </c>
      <c r="Y76" s="299">
        <v>2.7</v>
      </c>
      <c r="Z76" s="304">
        <v>26</v>
      </c>
      <c r="AA76" s="293" t="s">
        <v>309</v>
      </c>
      <c r="AB76" s="310" t="s">
        <v>309</v>
      </c>
      <c r="AC76" s="294"/>
      <c r="AD76" s="295" t="str">
        <f t="shared" si="6"/>
        <v/>
      </c>
    </row>
    <row r="77" spans="1:36" s="296" customFormat="1" ht="17.25" customHeight="1" x14ac:dyDescent="0.2">
      <c r="A77" s="727" t="s">
        <v>529</v>
      </c>
      <c r="B77" s="297" t="s">
        <v>495</v>
      </c>
      <c r="C77" s="298">
        <v>358</v>
      </c>
      <c r="D77" s="299">
        <v>7.06</v>
      </c>
      <c r="E77" s="299">
        <v>11.57</v>
      </c>
      <c r="F77" s="300">
        <v>63</v>
      </c>
      <c r="G77" s="301">
        <v>0.15</v>
      </c>
      <c r="H77" s="302">
        <f>ROUND((11.93-(6.82*G77))*E77+1.03*G77*F77,0)</f>
        <v>136</v>
      </c>
      <c r="I77" s="303">
        <f>IF((F77-H77)/6.25&lt;0,ROUND((F77-H77)/6.25,0),"+"&amp;ROUND(((F77-H77)/6.25),0))</f>
        <v>-12</v>
      </c>
      <c r="J77" s="302"/>
      <c r="K77" s="302">
        <v>180</v>
      </c>
      <c r="L77" s="302">
        <v>306</v>
      </c>
      <c r="M77" s="302">
        <f t="shared" si="3"/>
        <v>564</v>
      </c>
      <c r="N77" s="302">
        <v>300</v>
      </c>
      <c r="O77" s="336">
        <v>0.25</v>
      </c>
      <c r="P77" s="302">
        <v>90</v>
      </c>
      <c r="Q77" s="302">
        <f t="shared" si="4"/>
        <v>389.25</v>
      </c>
      <c r="R77" s="302">
        <v>32</v>
      </c>
      <c r="S77" s="302">
        <v>157</v>
      </c>
      <c r="T77" s="302"/>
      <c r="U77" s="302">
        <v>35</v>
      </c>
      <c r="V77" s="299">
        <v>2.1</v>
      </c>
      <c r="W77" s="299">
        <v>2.6</v>
      </c>
      <c r="X77" s="299">
        <v>0.1</v>
      </c>
      <c r="Y77" s="299">
        <v>1.4</v>
      </c>
      <c r="Z77" s="304">
        <v>9.1999999999999993</v>
      </c>
      <c r="AA77" s="293"/>
      <c r="AB77" s="310"/>
      <c r="AC77" s="294"/>
      <c r="AD77" s="295"/>
    </row>
    <row r="78" spans="1:36" s="296" customFormat="1" ht="17.25" customHeight="1" x14ac:dyDescent="0.2">
      <c r="A78" s="727" t="s">
        <v>529</v>
      </c>
      <c r="B78" s="297" t="s">
        <v>101</v>
      </c>
      <c r="C78" s="298">
        <v>120</v>
      </c>
      <c r="D78" s="299">
        <v>6.76</v>
      </c>
      <c r="E78" s="299">
        <v>11.02</v>
      </c>
      <c r="F78" s="300">
        <v>210</v>
      </c>
      <c r="G78" s="301">
        <v>0.15</v>
      </c>
      <c r="H78" s="302">
        <f t="shared" si="7"/>
        <v>153</v>
      </c>
      <c r="I78" s="303" t="str">
        <f t="shared" si="8"/>
        <v>+9</v>
      </c>
      <c r="J78" s="302"/>
      <c r="K78" s="302">
        <v>155</v>
      </c>
      <c r="L78" s="302">
        <v>235</v>
      </c>
      <c r="M78" s="302">
        <f t="shared" si="3"/>
        <v>375</v>
      </c>
      <c r="N78" s="302">
        <v>0</v>
      </c>
      <c r="O78" s="336">
        <v>0</v>
      </c>
      <c r="P78" s="302">
        <v>110</v>
      </c>
      <c r="Q78" s="302">
        <f t="shared" si="4"/>
        <v>110</v>
      </c>
      <c r="R78" s="302">
        <v>35</v>
      </c>
      <c r="S78" s="302">
        <v>130</v>
      </c>
      <c r="T78" s="302"/>
      <c r="U78" s="302">
        <v>145</v>
      </c>
      <c r="V78" s="299">
        <v>17</v>
      </c>
      <c r="W78" s="299">
        <v>4.5</v>
      </c>
      <c r="X78" s="299">
        <v>1.3</v>
      </c>
      <c r="Y78" s="299">
        <v>2.6</v>
      </c>
      <c r="Z78" s="304">
        <v>32</v>
      </c>
      <c r="AA78" s="293" t="s">
        <v>309</v>
      </c>
      <c r="AB78" s="310">
        <v>305</v>
      </c>
      <c r="AC78" s="294"/>
      <c r="AD78" s="295" t="str">
        <f t="shared" ref="AD78:AD83" si="9">IF(COUNTA(B78:AA78)&lt;21,"x","")</f>
        <v/>
      </c>
    </row>
    <row r="79" spans="1:36" s="296" customFormat="1" ht="17.25" customHeight="1" x14ac:dyDescent="0.2">
      <c r="A79" s="727" t="s">
        <v>529</v>
      </c>
      <c r="B79" s="297" t="s">
        <v>156</v>
      </c>
      <c r="C79" s="298">
        <v>220</v>
      </c>
      <c r="D79" s="299">
        <v>6.94</v>
      </c>
      <c r="E79" s="299">
        <v>11.33</v>
      </c>
      <c r="F79" s="300">
        <v>185</v>
      </c>
      <c r="G79" s="301">
        <v>0.15</v>
      </c>
      <c r="H79" s="302">
        <f t="shared" si="7"/>
        <v>152</v>
      </c>
      <c r="I79" s="303" t="str">
        <f t="shared" si="8"/>
        <v>+5</v>
      </c>
      <c r="J79" s="302"/>
      <c r="K79" s="302">
        <f>1.2*S79</f>
        <v>276</v>
      </c>
      <c r="L79" s="302">
        <f>1.9*S79</f>
        <v>437</v>
      </c>
      <c r="M79" s="302">
        <f t="shared" si="3"/>
        <v>238</v>
      </c>
      <c r="N79" s="302">
        <v>0</v>
      </c>
      <c r="O79" s="336">
        <v>0</v>
      </c>
      <c r="P79" s="302">
        <v>120</v>
      </c>
      <c r="Q79" s="302">
        <f t="shared" si="4"/>
        <v>120</v>
      </c>
      <c r="R79" s="302">
        <v>40</v>
      </c>
      <c r="S79" s="302">
        <v>230</v>
      </c>
      <c r="T79" s="302"/>
      <c r="U79" s="302">
        <v>100</v>
      </c>
      <c r="V79" s="299">
        <v>7.5</v>
      </c>
      <c r="W79" s="299">
        <v>6.6</v>
      </c>
      <c r="X79" s="299">
        <v>1</v>
      </c>
      <c r="Y79" s="299">
        <v>1.6</v>
      </c>
      <c r="Z79" s="304">
        <v>28</v>
      </c>
      <c r="AA79" s="293" t="s">
        <v>309</v>
      </c>
      <c r="AB79" s="310" t="s">
        <v>309</v>
      </c>
      <c r="AC79" s="294"/>
      <c r="AD79" s="295" t="str">
        <f t="shared" si="9"/>
        <v/>
      </c>
    </row>
    <row r="80" spans="1:36" s="296" customFormat="1" ht="17.25" customHeight="1" x14ac:dyDescent="0.2">
      <c r="A80" s="727" t="s">
        <v>529</v>
      </c>
      <c r="B80" s="297" t="s">
        <v>102</v>
      </c>
      <c r="C80" s="298">
        <v>160</v>
      </c>
      <c r="D80" s="299">
        <v>6.5</v>
      </c>
      <c r="E80" s="299">
        <v>10.5</v>
      </c>
      <c r="F80" s="300">
        <v>160</v>
      </c>
      <c r="G80" s="301">
        <v>0.15</v>
      </c>
      <c r="H80" s="302">
        <f t="shared" si="7"/>
        <v>139</v>
      </c>
      <c r="I80" s="303" t="str">
        <f t="shared" si="8"/>
        <v>+3</v>
      </c>
      <c r="J80" s="302"/>
      <c r="K80" s="302">
        <v>125</v>
      </c>
      <c r="L80" s="302">
        <v>310</v>
      </c>
      <c r="M80" s="302">
        <f t="shared" si="3"/>
        <v>345</v>
      </c>
      <c r="N80" s="302">
        <v>0</v>
      </c>
      <c r="O80" s="336">
        <v>0</v>
      </c>
      <c r="P80" s="302">
        <v>220</v>
      </c>
      <c r="Q80" s="302">
        <f t="shared" si="4"/>
        <v>220</v>
      </c>
      <c r="R80" s="302">
        <v>20</v>
      </c>
      <c r="S80" s="302">
        <v>110</v>
      </c>
      <c r="T80" s="302"/>
      <c r="U80" s="302">
        <v>165</v>
      </c>
      <c r="V80" s="299">
        <f>2.1/0.16</f>
        <v>13.125</v>
      </c>
      <c r="W80" s="299">
        <f>0.4/0.16</f>
        <v>2.5</v>
      </c>
      <c r="X80" s="299">
        <f>0.9/0.16</f>
        <v>5.625</v>
      </c>
      <c r="Y80" s="299">
        <f>0.7/0.16</f>
        <v>4.375</v>
      </c>
      <c r="Z80" s="304">
        <f>5/0.16</f>
        <v>31.25</v>
      </c>
      <c r="AA80" s="293" t="s">
        <v>309</v>
      </c>
      <c r="AB80" s="310" t="s">
        <v>309</v>
      </c>
      <c r="AC80" s="294"/>
      <c r="AD80" s="295" t="str">
        <f t="shared" si="9"/>
        <v/>
      </c>
    </row>
    <row r="81" spans="1:38" s="296" customFormat="1" ht="17.25" customHeight="1" x14ac:dyDescent="0.2">
      <c r="A81" s="727"/>
      <c r="B81" s="297" t="s">
        <v>122</v>
      </c>
      <c r="C81" s="298">
        <v>60</v>
      </c>
      <c r="D81" s="299">
        <v>7.92</v>
      </c>
      <c r="E81" s="299">
        <v>12.9</v>
      </c>
      <c r="F81" s="300">
        <v>360</v>
      </c>
      <c r="G81" s="301">
        <v>0.3</v>
      </c>
      <c r="H81" s="302">
        <f t="shared" si="7"/>
        <v>239</v>
      </c>
      <c r="I81" s="303" t="str">
        <f t="shared" si="8"/>
        <v>+19</v>
      </c>
      <c r="J81" s="302"/>
      <c r="K81" s="302">
        <v>130</v>
      </c>
      <c r="L81" s="302">
        <v>430</v>
      </c>
      <c r="M81" s="302">
        <f t="shared" si="3"/>
        <v>90</v>
      </c>
      <c r="N81" s="302">
        <v>175</v>
      </c>
      <c r="O81" s="336">
        <v>1</v>
      </c>
      <c r="P81" s="302">
        <v>20</v>
      </c>
      <c r="Q81" s="302">
        <f t="shared" si="4"/>
        <v>193.25</v>
      </c>
      <c r="R81" s="302">
        <v>70</v>
      </c>
      <c r="S81" s="302">
        <v>100</v>
      </c>
      <c r="T81" s="302"/>
      <c r="U81" s="302">
        <v>50</v>
      </c>
      <c r="V81" s="299">
        <v>3.5</v>
      </c>
      <c r="W81" s="299">
        <v>5.3</v>
      </c>
      <c r="X81" s="299">
        <v>3.1</v>
      </c>
      <c r="Y81" s="299">
        <v>2.4</v>
      </c>
      <c r="Z81" s="304">
        <v>8</v>
      </c>
      <c r="AA81" s="293" t="s">
        <v>309</v>
      </c>
      <c r="AB81" s="310" t="s">
        <v>309</v>
      </c>
      <c r="AC81" s="294"/>
      <c r="AD81" s="295" t="str">
        <f t="shared" si="9"/>
        <v/>
      </c>
      <c r="AE81" s="296">
        <f>+S81</f>
        <v>100</v>
      </c>
      <c r="AF81" s="296">
        <f>IF(M81=0,0.0001,M81)</f>
        <v>90</v>
      </c>
      <c r="AG81" s="296">
        <v>0.1</v>
      </c>
      <c r="AH81" s="296">
        <f>+AF81*AG81</f>
        <v>9</v>
      </c>
      <c r="AI81" s="296">
        <f>+P81</f>
        <v>20</v>
      </c>
      <c r="AJ81" s="296">
        <f>0.9-1.3*AG81</f>
        <v>0.77</v>
      </c>
    </row>
    <row r="82" spans="1:38" s="296" customFormat="1" ht="17.25" customHeight="1" x14ac:dyDescent="0.2">
      <c r="A82" s="727"/>
      <c r="B82" s="297" t="s">
        <v>121</v>
      </c>
      <c r="C82" s="298">
        <v>60</v>
      </c>
      <c r="D82" s="299">
        <v>7.5</v>
      </c>
      <c r="E82" s="299">
        <v>11.98</v>
      </c>
      <c r="F82" s="300">
        <v>308</v>
      </c>
      <c r="G82" s="301">
        <v>0.3</v>
      </c>
      <c r="H82" s="302">
        <f t="shared" si="7"/>
        <v>214</v>
      </c>
      <c r="I82" s="303" t="str">
        <f t="shared" si="8"/>
        <v>+15</v>
      </c>
      <c r="J82" s="302"/>
      <c r="K82" s="302">
        <v>70</v>
      </c>
      <c r="L82" s="302">
        <v>90</v>
      </c>
      <c r="M82" s="302">
        <f t="shared" si="3"/>
        <v>452</v>
      </c>
      <c r="N82" s="302">
        <v>27</v>
      </c>
      <c r="O82" s="336">
        <v>1</v>
      </c>
      <c r="P82" s="302">
        <v>0</v>
      </c>
      <c r="Q82" s="302">
        <f t="shared" si="4"/>
        <v>26.73</v>
      </c>
      <c r="R82" s="302">
        <v>15</v>
      </c>
      <c r="S82" s="302">
        <v>70</v>
      </c>
      <c r="T82" s="302"/>
      <c r="U82" s="302">
        <v>135</v>
      </c>
      <c r="V82" s="299">
        <v>2.8</v>
      </c>
      <c r="W82" s="299">
        <v>7.3</v>
      </c>
      <c r="X82" s="299">
        <v>0.6</v>
      </c>
      <c r="Y82" s="299">
        <v>0.5</v>
      </c>
      <c r="Z82" s="304">
        <v>55</v>
      </c>
      <c r="AA82" s="293" t="s">
        <v>309</v>
      </c>
      <c r="AB82" s="310" t="s">
        <v>309</v>
      </c>
      <c r="AC82" s="294"/>
      <c r="AD82" s="295" t="str">
        <f t="shared" si="9"/>
        <v/>
      </c>
      <c r="AE82" s="296">
        <f>+S82</f>
        <v>70</v>
      </c>
      <c r="AF82" s="296">
        <f>IF(M82=0,0.0001,M82)</f>
        <v>452</v>
      </c>
      <c r="AG82" s="296">
        <v>0.1</v>
      </c>
      <c r="AH82" s="296">
        <f>+AF82*AG82</f>
        <v>45.2</v>
      </c>
      <c r="AI82" s="296">
        <f>+P82</f>
        <v>0</v>
      </c>
      <c r="AJ82" s="296">
        <f>0.9-1.3*AG82</f>
        <v>0.77</v>
      </c>
    </row>
    <row r="83" spans="1:38" s="296" customFormat="1" ht="17.25" customHeight="1" x14ac:dyDescent="0.2">
      <c r="A83" s="727"/>
      <c r="B83" s="297" t="s">
        <v>103</v>
      </c>
      <c r="C83" s="298">
        <v>230</v>
      </c>
      <c r="D83" s="299">
        <v>8</v>
      </c>
      <c r="E83" s="299">
        <v>12.6</v>
      </c>
      <c r="F83" s="300">
        <v>60</v>
      </c>
      <c r="G83" s="301">
        <v>0.2</v>
      </c>
      <c r="H83" s="302">
        <f t="shared" si="7"/>
        <v>145</v>
      </c>
      <c r="I83" s="303">
        <f t="shared" si="8"/>
        <v>-14</v>
      </c>
      <c r="J83" s="302"/>
      <c r="K83" s="302">
        <v>250</v>
      </c>
      <c r="L83" s="302">
        <v>110</v>
      </c>
      <c r="M83" s="302">
        <f t="shared" si="3"/>
        <v>760</v>
      </c>
      <c r="N83" s="302">
        <v>0</v>
      </c>
      <c r="O83" s="336">
        <v>0</v>
      </c>
      <c r="P83" s="302">
        <v>695</v>
      </c>
      <c r="Q83" s="302">
        <f t="shared" si="4"/>
        <v>695</v>
      </c>
      <c r="R83" s="302">
        <v>20</v>
      </c>
      <c r="S83" s="302">
        <v>52</v>
      </c>
      <c r="T83" s="302"/>
      <c r="U83" s="302">
        <v>50</v>
      </c>
      <c r="V83" s="299">
        <v>2.6</v>
      </c>
      <c r="W83" s="299">
        <v>1.7</v>
      </c>
      <c r="X83" s="299">
        <v>0.9</v>
      </c>
      <c r="Y83" s="299">
        <v>1.7</v>
      </c>
      <c r="Z83" s="304">
        <v>15</v>
      </c>
      <c r="AA83" s="293" t="s">
        <v>309</v>
      </c>
      <c r="AB83" s="310">
        <v>100</v>
      </c>
      <c r="AC83" s="294"/>
      <c r="AD83" s="295" t="str">
        <f t="shared" si="9"/>
        <v/>
      </c>
    </row>
    <row r="84" spans="1:38" s="82" customFormat="1" ht="12" x14ac:dyDescent="0.2">
      <c r="A84" s="725"/>
      <c r="B84" s="257"/>
      <c r="C84" s="258"/>
      <c r="D84" s="259"/>
      <c r="E84" s="259"/>
      <c r="F84" s="260"/>
      <c r="G84" s="259"/>
      <c r="H84" s="259"/>
      <c r="I84" s="259"/>
      <c r="J84" s="259"/>
      <c r="K84" s="307"/>
      <c r="L84" s="307"/>
      <c r="M84" s="307"/>
      <c r="N84" s="307"/>
      <c r="O84" s="307"/>
      <c r="P84" s="307"/>
      <c r="Q84" s="307"/>
      <c r="R84" s="307"/>
      <c r="S84" s="307"/>
      <c r="T84" s="307"/>
      <c r="U84" s="307"/>
      <c r="V84" s="259"/>
      <c r="W84" s="261"/>
      <c r="X84" s="261"/>
      <c r="Y84" s="261"/>
      <c r="Z84" s="262"/>
      <c r="AA84" s="262"/>
      <c r="AB84" s="308"/>
      <c r="AC84" s="282"/>
      <c r="AD84" s="80"/>
      <c r="AE84" s="81"/>
      <c r="AF84" s="81"/>
      <c r="AG84" s="81"/>
      <c r="AH84" s="81"/>
      <c r="AI84" s="81"/>
      <c r="AJ84" s="81"/>
      <c r="AL84" s="72"/>
    </row>
    <row r="85" spans="1:38" s="72" customFormat="1" ht="17.25" customHeight="1" x14ac:dyDescent="0.2">
      <c r="A85" s="704" t="s">
        <v>74</v>
      </c>
      <c r="B85" s="263"/>
      <c r="C85" s="264">
        <v>0</v>
      </c>
      <c r="D85" s="265">
        <v>1E-4</v>
      </c>
      <c r="E85" s="265">
        <v>1E-4</v>
      </c>
      <c r="F85" s="266">
        <v>1E-4</v>
      </c>
      <c r="G85" s="265">
        <v>1E-4</v>
      </c>
      <c r="H85" s="265">
        <v>1E-4</v>
      </c>
      <c r="I85" s="265">
        <v>1E-4</v>
      </c>
      <c r="J85" s="265">
        <v>1E-4</v>
      </c>
      <c r="K85" s="265">
        <v>1E-4</v>
      </c>
      <c r="L85" s="265">
        <v>1E-4</v>
      </c>
      <c r="M85" s="265">
        <v>1E-4</v>
      </c>
      <c r="N85" s="265">
        <v>1E-4</v>
      </c>
      <c r="O85" s="265">
        <v>1E-4</v>
      </c>
      <c r="P85" s="265">
        <v>1E-4</v>
      </c>
      <c r="Q85" s="265">
        <v>1E-4</v>
      </c>
      <c r="R85" s="265">
        <v>1E-4</v>
      </c>
      <c r="S85" s="265">
        <v>1E-4</v>
      </c>
      <c r="T85" s="265">
        <v>1E-4</v>
      </c>
      <c r="U85" s="265">
        <v>1E-4</v>
      </c>
      <c r="V85" s="265">
        <v>1E-4</v>
      </c>
      <c r="W85" s="267">
        <v>1E-4</v>
      </c>
      <c r="X85" s="267">
        <v>1E-4</v>
      </c>
      <c r="Y85" s="267">
        <v>1E-4</v>
      </c>
      <c r="Z85" s="268">
        <v>1E-4</v>
      </c>
      <c r="AA85" s="268">
        <v>1E-4</v>
      </c>
      <c r="AB85" s="309"/>
      <c r="AC85" s="270"/>
      <c r="AD85" s="73"/>
      <c r="AE85" s="73"/>
      <c r="AF85" s="73"/>
      <c r="AG85" s="73"/>
      <c r="AH85" s="73"/>
      <c r="AI85" s="73"/>
      <c r="AJ85" s="73"/>
    </row>
    <row r="86" spans="1:38" s="296" customFormat="1" ht="17.25" customHeight="1" x14ac:dyDescent="0.2">
      <c r="A86" s="727"/>
      <c r="B86" s="297" t="s">
        <v>75</v>
      </c>
      <c r="C86" s="298">
        <v>230</v>
      </c>
      <c r="D86" s="299">
        <v>6.72</v>
      </c>
      <c r="E86" s="299">
        <v>11.26</v>
      </c>
      <c r="F86" s="300">
        <v>235</v>
      </c>
      <c r="G86" s="301">
        <v>0.4</v>
      </c>
      <c r="H86" s="302">
        <f>ROUND((11.93-(6.82*G86))*E86+1.03*G86*F86,0)</f>
        <v>200</v>
      </c>
      <c r="I86" s="303" t="str">
        <f>IF((F86-H86)/6.25&lt;0,ROUND((F86-H86)/6.25,0),"+"&amp;ROUND(((F86-H86)/6.25),0))</f>
        <v>+6</v>
      </c>
      <c r="J86" s="302"/>
      <c r="K86" s="302">
        <v>299</v>
      </c>
      <c r="L86" s="302">
        <v>581</v>
      </c>
      <c r="M86" s="302">
        <v>57</v>
      </c>
      <c r="N86" s="302">
        <v>22</v>
      </c>
      <c r="O86" s="336">
        <v>0.1</v>
      </c>
      <c r="P86" s="302">
        <v>6</v>
      </c>
      <c r="Q86" s="302">
        <f t="shared" si="4"/>
        <v>27.978000000000002</v>
      </c>
      <c r="R86" s="302">
        <v>83</v>
      </c>
      <c r="S86" s="302">
        <v>215</v>
      </c>
      <c r="T86" s="302"/>
      <c r="U86" s="302">
        <v>45</v>
      </c>
      <c r="V86" s="299">
        <v>4.3</v>
      </c>
      <c r="W86" s="299">
        <v>8.5</v>
      </c>
      <c r="X86" s="299">
        <v>0.2</v>
      </c>
      <c r="Y86" s="299">
        <v>2.1</v>
      </c>
      <c r="Z86" s="304">
        <v>2.2000000000000002</v>
      </c>
      <c r="AA86" s="293" t="s">
        <v>309</v>
      </c>
      <c r="AB86" s="310">
        <v>-70</v>
      </c>
      <c r="AC86" s="294"/>
      <c r="AD86" s="295" t="str">
        <f>IF(COUNTA(B86:AA86)&lt;21,"x","")</f>
        <v/>
      </c>
      <c r="AE86" s="296">
        <f>+S86</f>
        <v>215</v>
      </c>
      <c r="AF86" s="296">
        <f>IF(N86=0,0.0001,N86)</f>
        <v>22</v>
      </c>
      <c r="AG86" s="296">
        <v>0.1</v>
      </c>
      <c r="AH86" s="296">
        <f>+AF86*AG86</f>
        <v>2.2000000000000002</v>
      </c>
      <c r="AI86" s="296">
        <f>+P86</f>
        <v>6</v>
      </c>
      <c r="AJ86" s="296">
        <f>0.9-1.3*AG86</f>
        <v>0.77</v>
      </c>
    </row>
    <row r="87" spans="1:38" s="296" customFormat="1" ht="17.25" customHeight="1" x14ac:dyDescent="0.2">
      <c r="A87" s="727"/>
      <c r="B87" s="297" t="s">
        <v>76</v>
      </c>
      <c r="C87" s="298">
        <v>600</v>
      </c>
      <c r="D87" s="299">
        <v>7.99</v>
      </c>
      <c r="E87" s="299">
        <v>12.78</v>
      </c>
      <c r="F87" s="300">
        <v>100</v>
      </c>
      <c r="G87" s="301">
        <v>0.35</v>
      </c>
      <c r="H87" s="302">
        <f>ROUND((11.93-(6.82*G87))*E87+1.03*G87*F87,0)</f>
        <v>158</v>
      </c>
      <c r="I87" s="303">
        <f>IF((F87-H87)/6.25&lt;0,ROUND((F87-H87)/6.25,0),"+"&amp;ROUND(((F87-H87)/6.25),0))</f>
        <v>-9</v>
      </c>
      <c r="J87" s="302"/>
      <c r="K87" s="302">
        <f>S87*1.16</f>
        <v>63.8</v>
      </c>
      <c r="L87" s="302">
        <f>S87*3</f>
        <v>165</v>
      </c>
      <c r="M87" s="302">
        <f t="shared" ref="M87:M118" si="10">IF(AND(U87&lt;&gt;"",F87&lt;&gt;"",L87&lt;&gt;"",R87&lt;&gt;""),1000-F87-L87-R87-U87,"Fehler")</f>
        <v>670</v>
      </c>
      <c r="N87" s="302">
        <v>630</v>
      </c>
      <c r="O87" s="336">
        <v>0.25</v>
      </c>
      <c r="P87" s="302">
        <v>4</v>
      </c>
      <c r="Q87" s="302">
        <f t="shared" si="4"/>
        <v>632.42499999999995</v>
      </c>
      <c r="R87" s="302">
        <v>45</v>
      </c>
      <c r="S87" s="302">
        <v>55</v>
      </c>
      <c r="T87" s="302"/>
      <c r="U87" s="302">
        <v>20</v>
      </c>
      <c r="V87" s="299">
        <v>0.4</v>
      </c>
      <c r="W87" s="299">
        <v>3.5</v>
      </c>
      <c r="X87" s="299">
        <v>0.2</v>
      </c>
      <c r="Y87" s="299">
        <v>1.3</v>
      </c>
      <c r="Z87" s="304">
        <v>4</v>
      </c>
      <c r="AA87" s="293" t="s">
        <v>309</v>
      </c>
      <c r="AB87" s="310">
        <v>-60</v>
      </c>
      <c r="AC87" s="294"/>
      <c r="AD87" s="295" t="str">
        <f>IF(COUNTA(B87:AA87)&lt;21,"x","")</f>
        <v/>
      </c>
      <c r="AE87" s="296">
        <f>+S87</f>
        <v>55</v>
      </c>
      <c r="AF87" s="296">
        <f>IF(N87=0,0.0001,N87)</f>
        <v>630</v>
      </c>
      <c r="AG87" s="296">
        <v>0.3</v>
      </c>
      <c r="AH87" s="296">
        <f>+AF87*AG87</f>
        <v>189</v>
      </c>
      <c r="AI87" s="296">
        <f>+P87</f>
        <v>4</v>
      </c>
      <c r="AJ87" s="296">
        <f>0.9-1.3*AG87</f>
        <v>0.51</v>
      </c>
    </row>
    <row r="88" spans="1:38" s="296" customFormat="1" ht="17.25" customHeight="1" x14ac:dyDescent="0.2">
      <c r="A88" s="727" t="s">
        <v>529</v>
      </c>
      <c r="B88" s="297" t="s">
        <v>160</v>
      </c>
      <c r="C88" s="298">
        <v>350</v>
      </c>
      <c r="D88" s="299">
        <v>5.69</v>
      </c>
      <c r="E88" s="299">
        <v>9.67</v>
      </c>
      <c r="F88" s="300">
        <v>180</v>
      </c>
      <c r="G88" s="301">
        <v>0.15</v>
      </c>
      <c r="H88" s="302">
        <f>ROUND((11.93-(6.82*G88))*E88+1.03*G88*F88,0)</f>
        <v>133</v>
      </c>
      <c r="I88" s="303" t="str">
        <f>IF((F88-H88)/6.25&lt;0,ROUND((F88-H88)/6.25,0),"+"&amp;ROUND(((F88-H88)/6.25),0))</f>
        <v>+8</v>
      </c>
      <c r="J88" s="302"/>
      <c r="K88" s="302">
        <f>S88*1.3</f>
        <v>364</v>
      </c>
      <c r="L88" s="302">
        <f>S88*2.2</f>
        <v>616</v>
      </c>
      <c r="M88" s="302">
        <f t="shared" si="10"/>
        <v>104</v>
      </c>
      <c r="N88" s="302">
        <v>120</v>
      </c>
      <c r="O88" s="336">
        <v>0.2</v>
      </c>
      <c r="P88" s="302">
        <v>30</v>
      </c>
      <c r="Q88" s="302">
        <f t="shared" si="4"/>
        <v>149.76</v>
      </c>
      <c r="R88" s="302">
        <v>20</v>
      </c>
      <c r="S88" s="302">
        <v>280</v>
      </c>
      <c r="T88" s="302"/>
      <c r="U88" s="302">
        <v>80</v>
      </c>
      <c r="V88" s="299">
        <v>10</v>
      </c>
      <c r="W88" s="299">
        <v>3.6</v>
      </c>
      <c r="X88" s="299">
        <v>2</v>
      </c>
      <c r="Y88" s="299">
        <v>3.3</v>
      </c>
      <c r="Z88" s="304">
        <v>20</v>
      </c>
      <c r="AA88" s="293" t="s">
        <v>309</v>
      </c>
      <c r="AB88" s="310" t="s">
        <v>309</v>
      </c>
      <c r="AC88" s="294"/>
      <c r="AD88" s="295" t="str">
        <f>IF(COUNTA(B88:AA88)&lt;21,"x","")</f>
        <v/>
      </c>
      <c r="AE88" s="296">
        <f>+S88</f>
        <v>280</v>
      </c>
      <c r="AF88" s="296">
        <f>IF(N88=0,0.0001,N88)</f>
        <v>120</v>
      </c>
      <c r="AG88" s="296">
        <v>0.1</v>
      </c>
      <c r="AH88" s="296">
        <f>+AF88*AG88</f>
        <v>12</v>
      </c>
      <c r="AI88" s="296">
        <f>+P88</f>
        <v>30</v>
      </c>
      <c r="AJ88" s="296">
        <f>0.9-1.3*AG88</f>
        <v>0.77</v>
      </c>
    </row>
    <row r="89" spans="1:38" s="296" customFormat="1" ht="17.25" customHeight="1" x14ac:dyDescent="0.2">
      <c r="A89" s="727" t="s">
        <v>529</v>
      </c>
      <c r="B89" s="297" t="s">
        <v>518</v>
      </c>
      <c r="C89" s="298">
        <v>430</v>
      </c>
      <c r="D89" s="299">
        <v>5.8</v>
      </c>
      <c r="E89" s="299">
        <v>9.9</v>
      </c>
      <c r="F89" s="300">
        <v>96</v>
      </c>
      <c r="G89" s="301">
        <v>0.2</v>
      </c>
      <c r="H89" s="302">
        <v>124</v>
      </c>
      <c r="I89" s="303">
        <f>IF((F89-H89)/6.25&lt;0,ROUND((F89-H89)/6.25,0),"+"&amp;ROUND(((F89-H89)/6.25),0))</f>
        <v>-4</v>
      </c>
      <c r="J89" s="302"/>
      <c r="K89" s="302">
        <v>233</v>
      </c>
      <c r="L89" s="302">
        <v>418</v>
      </c>
      <c r="M89" s="302">
        <f t="shared" si="10"/>
        <v>418</v>
      </c>
      <c r="N89" s="302">
        <v>250</v>
      </c>
      <c r="O89" s="336">
        <v>0.1</v>
      </c>
      <c r="P89" s="302">
        <v>60</v>
      </c>
      <c r="Q89" s="302">
        <f t="shared" si="4"/>
        <v>309.75</v>
      </c>
      <c r="R89" s="302">
        <v>23</v>
      </c>
      <c r="S89" s="302">
        <v>203</v>
      </c>
      <c r="T89" s="302"/>
      <c r="U89" s="302">
        <v>45</v>
      </c>
      <c r="V89" s="299">
        <v>3.2</v>
      </c>
      <c r="W89" s="299">
        <v>2.4</v>
      </c>
      <c r="X89" s="299">
        <v>0.2</v>
      </c>
      <c r="Y89" s="299">
        <v>1.3</v>
      </c>
      <c r="Z89" s="304">
        <v>14.6</v>
      </c>
      <c r="AA89" s="293" t="s">
        <v>309</v>
      </c>
      <c r="AB89" s="310">
        <v>120</v>
      </c>
      <c r="AC89" s="294"/>
      <c r="AD89" s="295" t="str">
        <f>IF(COUNTA(B89:AA89)&lt;21,"x","")</f>
        <v/>
      </c>
      <c r="AE89" s="296">
        <f>+S89</f>
        <v>203</v>
      </c>
      <c r="AF89" s="296">
        <f>IF(N89=0,0.0001,N89)</f>
        <v>250</v>
      </c>
      <c r="AG89" s="296">
        <v>0.1</v>
      </c>
      <c r="AH89" s="296">
        <f>+AF89*AG89</f>
        <v>25</v>
      </c>
      <c r="AI89" s="296">
        <f>+P89</f>
        <v>60</v>
      </c>
      <c r="AJ89" s="296">
        <f>0.9-1.3*AG89</f>
        <v>0.77</v>
      </c>
    </row>
    <row r="90" spans="1:38" s="296" customFormat="1" ht="17.25" customHeight="1" x14ac:dyDescent="0.2">
      <c r="A90" s="727" t="s">
        <v>529</v>
      </c>
      <c r="B90" s="297" t="s">
        <v>519</v>
      </c>
      <c r="C90" s="298">
        <v>370</v>
      </c>
      <c r="D90" s="299">
        <v>5.2</v>
      </c>
      <c r="E90" s="299">
        <v>9</v>
      </c>
      <c r="F90" s="300">
        <v>75</v>
      </c>
      <c r="G90" s="301">
        <v>0.2</v>
      </c>
      <c r="H90" s="302">
        <v>110</v>
      </c>
      <c r="I90" s="303">
        <f t="shared" ref="I90:I96" si="11">IF((F90-H90)/6.25&lt;0,ROUND((F90-H90)/6.25,0),"+"&amp;ROUND(((F90-H90)/6.25),0))</f>
        <v>-6</v>
      </c>
      <c r="J90" s="302"/>
      <c r="K90" s="302">
        <v>305</v>
      </c>
      <c r="L90" s="302">
        <v>510</v>
      </c>
      <c r="M90" s="302">
        <f t="shared" si="10"/>
        <v>325</v>
      </c>
      <c r="N90" s="302">
        <v>150</v>
      </c>
      <c r="O90" s="336">
        <v>0.1</v>
      </c>
      <c r="P90" s="302">
        <v>60</v>
      </c>
      <c r="Q90" s="302">
        <f t="shared" si="4"/>
        <v>209.85</v>
      </c>
      <c r="R90" s="302">
        <v>20</v>
      </c>
      <c r="S90" s="302">
        <v>264</v>
      </c>
      <c r="T90" s="302"/>
      <c r="U90" s="302">
        <v>70</v>
      </c>
      <c r="V90" s="299">
        <v>3.2</v>
      </c>
      <c r="W90" s="299">
        <v>2.4</v>
      </c>
      <c r="X90" s="299">
        <v>0.2</v>
      </c>
      <c r="Y90" s="299">
        <v>1.3</v>
      </c>
      <c r="Z90" s="304">
        <v>14.6</v>
      </c>
      <c r="AA90" s="293" t="s">
        <v>309</v>
      </c>
      <c r="AB90" s="310">
        <v>120</v>
      </c>
      <c r="AC90" s="294"/>
      <c r="AD90" s="295"/>
    </row>
    <row r="91" spans="1:38" s="296" customFormat="1" ht="17.25" customHeight="1" x14ac:dyDescent="0.2">
      <c r="A91" s="727" t="s">
        <v>529</v>
      </c>
      <c r="B91" s="297" t="s">
        <v>407</v>
      </c>
      <c r="C91" s="298">
        <v>410</v>
      </c>
      <c r="D91" s="299">
        <v>4.9000000000000004</v>
      </c>
      <c r="E91" s="299">
        <v>8.5</v>
      </c>
      <c r="F91" s="300">
        <v>106</v>
      </c>
      <c r="G91" s="301">
        <v>0.2</v>
      </c>
      <c r="H91" s="302">
        <v>116</v>
      </c>
      <c r="I91" s="303">
        <f t="shared" si="11"/>
        <v>-2</v>
      </c>
      <c r="J91" s="302"/>
      <c r="K91" s="302">
        <v>365</v>
      </c>
      <c r="L91" s="302">
        <v>630</v>
      </c>
      <c r="M91" s="302">
        <f t="shared" si="10"/>
        <v>149</v>
      </c>
      <c r="N91" s="302">
        <v>240</v>
      </c>
      <c r="O91" s="336">
        <v>0.1</v>
      </c>
      <c r="P91" s="302">
        <v>30</v>
      </c>
      <c r="Q91" s="302">
        <f t="shared" si="4"/>
        <v>269.76</v>
      </c>
      <c r="R91" s="302">
        <v>25</v>
      </c>
      <c r="S91" s="302">
        <v>325</v>
      </c>
      <c r="T91" s="302"/>
      <c r="U91" s="302">
        <v>90</v>
      </c>
      <c r="V91" s="299">
        <v>5.3</v>
      </c>
      <c r="W91" s="299">
        <v>5.7</v>
      </c>
      <c r="X91" s="299">
        <v>0.2</v>
      </c>
      <c r="Y91" s="299">
        <v>2.2000000000000002</v>
      </c>
      <c r="Z91" s="304">
        <v>20</v>
      </c>
      <c r="AA91" s="293" t="s">
        <v>309</v>
      </c>
      <c r="AB91" s="310">
        <v>120</v>
      </c>
      <c r="AC91" s="294"/>
      <c r="AD91" s="295"/>
    </row>
    <row r="92" spans="1:38" s="296" customFormat="1" ht="17.25" customHeight="1" x14ac:dyDescent="0.2">
      <c r="A92" s="727" t="s">
        <v>529</v>
      </c>
      <c r="B92" s="297" t="s">
        <v>522</v>
      </c>
      <c r="C92" s="298">
        <v>280</v>
      </c>
      <c r="D92" s="299">
        <v>5.4</v>
      </c>
      <c r="E92" s="299">
        <v>9.1999999999999993</v>
      </c>
      <c r="F92" s="300">
        <v>91</v>
      </c>
      <c r="G92" s="301">
        <v>0.25</v>
      </c>
      <c r="H92" s="302">
        <v>118</v>
      </c>
      <c r="I92" s="303">
        <f>IF((F92-H92)/6.25&lt;0,ROUND((F92-H92)/6.25,0),"+"&amp;ROUND(((F92-H92)/6.25),0))</f>
        <v>-4</v>
      </c>
      <c r="J92" s="302"/>
      <c r="K92" s="302">
        <v>272</v>
      </c>
      <c r="L92" s="302">
        <v>489</v>
      </c>
      <c r="M92" s="302">
        <f t="shared" si="10"/>
        <v>339</v>
      </c>
      <c r="N92" s="302">
        <v>120</v>
      </c>
      <c r="O92" s="336">
        <v>0.15</v>
      </c>
      <c r="P92" s="302">
        <v>18</v>
      </c>
      <c r="Q92" s="302">
        <f t="shared" si="4"/>
        <v>137.82</v>
      </c>
      <c r="R92" s="302">
        <v>28</v>
      </c>
      <c r="S92" s="302">
        <v>200</v>
      </c>
      <c r="T92" s="302"/>
      <c r="U92" s="302">
        <v>53</v>
      </c>
      <c r="V92" s="299">
        <v>3.2</v>
      </c>
      <c r="W92" s="299">
        <v>2.1</v>
      </c>
      <c r="X92" s="299">
        <v>1</v>
      </c>
      <c r="Y92" s="299">
        <v>2.2999999999999998</v>
      </c>
      <c r="Z92" s="304"/>
      <c r="AA92" s="293" t="s">
        <v>309</v>
      </c>
      <c r="AB92" s="310">
        <v>113</v>
      </c>
      <c r="AC92" s="294"/>
      <c r="AD92" s="295"/>
    </row>
    <row r="93" spans="1:38" s="296" customFormat="1" ht="17.25" customHeight="1" x14ac:dyDescent="0.2">
      <c r="A93" s="727" t="s">
        <v>529</v>
      </c>
      <c r="B93" s="297" t="s">
        <v>411</v>
      </c>
      <c r="C93" s="298">
        <v>440</v>
      </c>
      <c r="D93" s="299">
        <v>5.6</v>
      </c>
      <c r="E93" s="299">
        <v>9.6</v>
      </c>
      <c r="F93" s="300">
        <v>92</v>
      </c>
      <c r="G93" s="301">
        <v>0.2</v>
      </c>
      <c r="H93" s="302">
        <v>119</v>
      </c>
      <c r="I93" s="303">
        <f t="shared" si="11"/>
        <v>-4</v>
      </c>
      <c r="J93" s="302"/>
      <c r="K93" s="302">
        <v>262</v>
      </c>
      <c r="L93" s="302">
        <v>432</v>
      </c>
      <c r="M93" s="302">
        <f t="shared" si="10"/>
        <v>406</v>
      </c>
      <c r="N93" s="302">
        <v>236</v>
      </c>
      <c r="O93" s="336">
        <v>0.1</v>
      </c>
      <c r="P93" s="302">
        <v>60</v>
      </c>
      <c r="Q93" s="302">
        <f t="shared" si="4"/>
        <v>295.76400000000001</v>
      </c>
      <c r="R93" s="302">
        <v>20</v>
      </c>
      <c r="S93" s="302">
        <v>220</v>
      </c>
      <c r="T93" s="302"/>
      <c r="U93" s="302">
        <v>50</v>
      </c>
      <c r="V93" s="299">
        <v>2.2000000000000002</v>
      </c>
      <c r="W93" s="299">
        <v>3</v>
      </c>
      <c r="X93" s="299">
        <v>0.1</v>
      </c>
      <c r="Y93" s="299">
        <v>1.1000000000000001</v>
      </c>
      <c r="Z93" s="304">
        <v>11.9</v>
      </c>
      <c r="AA93" s="293" t="s">
        <v>309</v>
      </c>
      <c r="AB93" s="310">
        <v>120</v>
      </c>
      <c r="AC93" s="294"/>
      <c r="AD93" s="295"/>
    </row>
    <row r="94" spans="1:38" s="296" customFormat="1" ht="17.25" customHeight="1" x14ac:dyDescent="0.2">
      <c r="A94" s="727" t="s">
        <v>529</v>
      </c>
      <c r="B94" s="297" t="s">
        <v>474</v>
      </c>
      <c r="C94" s="298">
        <v>362</v>
      </c>
      <c r="D94" s="299">
        <v>6.42</v>
      </c>
      <c r="E94" s="299">
        <v>10.66</v>
      </c>
      <c r="F94" s="300">
        <v>157</v>
      </c>
      <c r="G94" s="301">
        <v>0.15</v>
      </c>
      <c r="H94" s="302">
        <f t="shared" ref="H94:H108" si="12">ROUND((11.93-(6.82*G94))*E94+1.03*G94*F94,0)</f>
        <v>141</v>
      </c>
      <c r="I94" s="303" t="str">
        <f t="shared" si="11"/>
        <v>+3</v>
      </c>
      <c r="J94" s="302"/>
      <c r="K94" s="302">
        <v>263</v>
      </c>
      <c r="L94" s="302">
        <v>408</v>
      </c>
      <c r="M94" s="302">
        <f t="shared" si="10"/>
        <v>303</v>
      </c>
      <c r="N94" s="302">
        <v>0</v>
      </c>
      <c r="O94" s="336">
        <v>0</v>
      </c>
      <c r="P94" s="302">
        <v>60</v>
      </c>
      <c r="Q94" s="302">
        <f t="shared" si="4"/>
        <v>60</v>
      </c>
      <c r="R94" s="302">
        <v>37</v>
      </c>
      <c r="S94" s="302">
        <v>222</v>
      </c>
      <c r="T94" s="302"/>
      <c r="U94" s="302">
        <v>95</v>
      </c>
      <c r="V94" s="299">
        <v>7.4</v>
      </c>
      <c r="W94" s="299">
        <v>3.6</v>
      </c>
      <c r="X94" s="299">
        <v>0.4</v>
      </c>
      <c r="Y94" s="299">
        <v>2.2000000000000002</v>
      </c>
      <c r="Z94" s="304">
        <v>27.6</v>
      </c>
      <c r="AA94" s="293" t="s">
        <v>309</v>
      </c>
      <c r="AB94" s="310">
        <f>14*Z94+3.5</f>
        <v>389.90000000000003</v>
      </c>
      <c r="AC94" s="294"/>
      <c r="AD94" s="295"/>
    </row>
    <row r="95" spans="1:38" s="296" customFormat="1" ht="17.25" customHeight="1" x14ac:dyDescent="0.2">
      <c r="A95" s="727" t="s">
        <v>529</v>
      </c>
      <c r="B95" s="297" t="s">
        <v>475</v>
      </c>
      <c r="C95" s="298">
        <v>344</v>
      </c>
      <c r="D95" s="299">
        <v>6</v>
      </c>
      <c r="E95" s="299">
        <v>10.07</v>
      </c>
      <c r="F95" s="300">
        <v>145</v>
      </c>
      <c r="G95" s="301">
        <v>0.15</v>
      </c>
      <c r="H95" s="302">
        <f t="shared" si="12"/>
        <v>132</v>
      </c>
      <c r="I95" s="303" t="str">
        <f t="shared" si="11"/>
        <v>+2</v>
      </c>
      <c r="J95" s="302"/>
      <c r="K95" s="302">
        <v>288</v>
      </c>
      <c r="L95" s="302">
        <v>445</v>
      </c>
      <c r="M95" s="302">
        <f t="shared" si="10"/>
        <v>275</v>
      </c>
      <c r="N95" s="302">
        <v>0</v>
      </c>
      <c r="O95" s="336">
        <v>0</v>
      </c>
      <c r="P95" s="302">
        <v>50</v>
      </c>
      <c r="Q95" s="302">
        <f t="shared" si="4"/>
        <v>50</v>
      </c>
      <c r="R95" s="302">
        <v>36</v>
      </c>
      <c r="S95" s="302">
        <v>244</v>
      </c>
      <c r="T95" s="302"/>
      <c r="U95" s="302">
        <v>99</v>
      </c>
      <c r="V95" s="299">
        <v>7.6</v>
      </c>
      <c r="W95" s="299">
        <v>3.5</v>
      </c>
      <c r="X95" s="299">
        <v>0.3</v>
      </c>
      <c r="Y95" s="299">
        <v>2.1</v>
      </c>
      <c r="Z95" s="304">
        <v>26.9</v>
      </c>
      <c r="AA95" s="293" t="s">
        <v>309</v>
      </c>
      <c r="AB95" s="310">
        <f t="shared" ref="AB95:AB114" si="13">14*Z95+3.5</f>
        <v>380.09999999999997</v>
      </c>
      <c r="AC95" s="294"/>
      <c r="AD95" s="295"/>
    </row>
    <row r="96" spans="1:38" s="296" customFormat="1" ht="17.25" customHeight="1" x14ac:dyDescent="0.2">
      <c r="A96" s="727" t="s">
        <v>529</v>
      </c>
      <c r="B96" s="297" t="s">
        <v>476</v>
      </c>
      <c r="C96" s="298">
        <v>253</v>
      </c>
      <c r="D96" s="299">
        <v>5.54</v>
      </c>
      <c r="E96" s="299">
        <v>9.4</v>
      </c>
      <c r="F96" s="300">
        <v>130</v>
      </c>
      <c r="G96" s="301">
        <v>0.15</v>
      </c>
      <c r="H96" s="302">
        <f t="shared" si="12"/>
        <v>123</v>
      </c>
      <c r="I96" s="303" t="str">
        <f t="shared" si="11"/>
        <v>+1</v>
      </c>
      <c r="J96" s="302"/>
      <c r="K96" s="302">
        <v>318</v>
      </c>
      <c r="L96" s="302">
        <v>479</v>
      </c>
      <c r="M96" s="302">
        <f t="shared" si="10"/>
        <v>253</v>
      </c>
      <c r="N96" s="302">
        <v>0</v>
      </c>
      <c r="O96" s="336">
        <v>0</v>
      </c>
      <c r="P96" s="302">
        <v>40</v>
      </c>
      <c r="Q96" s="302">
        <f t="shared" si="4"/>
        <v>40</v>
      </c>
      <c r="R96" s="302">
        <v>32</v>
      </c>
      <c r="S96" s="302">
        <v>269</v>
      </c>
      <c r="T96" s="302"/>
      <c r="U96" s="302">
        <v>106</v>
      </c>
      <c r="V96" s="299">
        <v>7.8</v>
      </c>
      <c r="W96" s="299">
        <v>3.1</v>
      </c>
      <c r="X96" s="299">
        <v>0.4</v>
      </c>
      <c r="Y96" s="299">
        <v>2.1</v>
      </c>
      <c r="Z96" s="304">
        <v>23.6</v>
      </c>
      <c r="AA96" s="293" t="s">
        <v>309</v>
      </c>
      <c r="AB96" s="310">
        <f t="shared" si="13"/>
        <v>333.90000000000003</v>
      </c>
      <c r="AC96" s="294"/>
      <c r="AD96" s="295"/>
    </row>
    <row r="97" spans="1:30" s="296" customFormat="1" ht="17.25" customHeight="1" x14ac:dyDescent="0.2">
      <c r="A97" s="727" t="s">
        <v>529</v>
      </c>
      <c r="B97" s="297" t="s">
        <v>477</v>
      </c>
      <c r="C97" s="298">
        <v>418</v>
      </c>
      <c r="D97" s="299">
        <v>6.22</v>
      </c>
      <c r="E97" s="299">
        <v>10.37</v>
      </c>
      <c r="F97" s="300">
        <v>156</v>
      </c>
      <c r="G97" s="301">
        <v>0.15</v>
      </c>
      <c r="H97" s="302">
        <f t="shared" si="12"/>
        <v>137</v>
      </c>
      <c r="I97" s="303" t="str">
        <f>IF((F97-H97)/6.25&lt;0,ROUND((F97-H97)/6.25,0),"+"&amp;ROUND(((F97-H97)/6.25),0))</f>
        <v>+3</v>
      </c>
      <c r="J97" s="302"/>
      <c r="K97" s="302">
        <v>275</v>
      </c>
      <c r="L97" s="302">
        <v>432</v>
      </c>
      <c r="M97" s="302">
        <f t="shared" si="10"/>
        <v>275</v>
      </c>
      <c r="N97" s="302">
        <v>0</v>
      </c>
      <c r="O97" s="336">
        <v>0</v>
      </c>
      <c r="P97" s="302">
        <v>60</v>
      </c>
      <c r="Q97" s="302">
        <f t="shared" si="4"/>
        <v>60</v>
      </c>
      <c r="R97" s="302">
        <v>37</v>
      </c>
      <c r="S97" s="302">
        <v>228</v>
      </c>
      <c r="T97" s="302"/>
      <c r="U97" s="302">
        <v>100</v>
      </c>
      <c r="V97" s="299">
        <v>9.1999999999999993</v>
      </c>
      <c r="W97" s="299">
        <v>3.8</v>
      </c>
      <c r="X97" s="299">
        <v>0.5</v>
      </c>
      <c r="Y97" s="299">
        <v>2.7</v>
      </c>
      <c r="Z97" s="304">
        <v>26.3</v>
      </c>
      <c r="AA97" s="293" t="s">
        <v>309</v>
      </c>
      <c r="AB97" s="310">
        <f t="shared" si="13"/>
        <v>371.7</v>
      </c>
      <c r="AC97" s="294"/>
      <c r="AD97" s="295"/>
    </row>
    <row r="98" spans="1:30" s="296" customFormat="1" ht="17.25" customHeight="1" x14ac:dyDescent="0.2">
      <c r="A98" s="727" t="s">
        <v>529</v>
      </c>
      <c r="B98" s="297" t="s">
        <v>478</v>
      </c>
      <c r="C98" s="298">
        <v>413</v>
      </c>
      <c r="D98" s="299">
        <v>5.82</v>
      </c>
      <c r="E98" s="299">
        <v>9.8000000000000007</v>
      </c>
      <c r="F98" s="300">
        <v>140</v>
      </c>
      <c r="G98" s="301">
        <v>0.15</v>
      </c>
      <c r="H98" s="302">
        <f t="shared" si="12"/>
        <v>129</v>
      </c>
      <c r="I98" s="303" t="str">
        <f>IF((F98-H98)/6.25&lt;0,ROUND((F98-H98)/6.25,0),"+"&amp;ROUND(((F98-H98)/6.25),0))</f>
        <v>+2</v>
      </c>
      <c r="J98" s="302"/>
      <c r="K98" s="302">
        <v>292</v>
      </c>
      <c r="L98" s="302">
        <v>444</v>
      </c>
      <c r="M98" s="302">
        <f t="shared" si="10"/>
        <v>275</v>
      </c>
      <c r="N98" s="302">
        <v>0</v>
      </c>
      <c r="O98" s="336">
        <v>0</v>
      </c>
      <c r="P98" s="302">
        <v>50</v>
      </c>
      <c r="Q98" s="302">
        <f t="shared" si="4"/>
        <v>50</v>
      </c>
      <c r="R98" s="302">
        <v>34</v>
      </c>
      <c r="S98" s="302">
        <v>240</v>
      </c>
      <c r="T98" s="302"/>
      <c r="U98" s="302">
        <v>107</v>
      </c>
      <c r="V98" s="299">
        <v>9.9</v>
      </c>
      <c r="W98" s="299">
        <v>3.5</v>
      </c>
      <c r="X98" s="299">
        <v>0.5</v>
      </c>
      <c r="Y98" s="299">
        <v>2.7</v>
      </c>
      <c r="Z98" s="304">
        <v>25</v>
      </c>
      <c r="AA98" s="293" t="s">
        <v>309</v>
      </c>
      <c r="AB98" s="310">
        <f t="shared" si="13"/>
        <v>353.5</v>
      </c>
      <c r="AC98" s="294"/>
      <c r="AD98" s="295"/>
    </row>
    <row r="99" spans="1:30" s="296" customFormat="1" ht="17.25" customHeight="1" x14ac:dyDescent="0.2">
      <c r="A99" s="727" t="s">
        <v>529</v>
      </c>
      <c r="B99" s="297" t="s">
        <v>479</v>
      </c>
      <c r="C99" s="298">
        <v>405</v>
      </c>
      <c r="D99" s="299">
        <v>5.41</v>
      </c>
      <c r="E99" s="299">
        <v>9.1999999999999993</v>
      </c>
      <c r="F99" s="300">
        <v>135</v>
      </c>
      <c r="G99" s="301">
        <v>0.15</v>
      </c>
      <c r="H99" s="302">
        <f t="shared" si="12"/>
        <v>121</v>
      </c>
      <c r="I99" s="303" t="str">
        <f>IF((F99-H99)/6.25&lt;0,ROUND((F99-H99)/6.25,0),"+"&amp;ROUND(((F99-H99)/6.25),0))</f>
        <v>+2</v>
      </c>
      <c r="J99" s="302"/>
      <c r="K99" s="302">
        <v>319</v>
      </c>
      <c r="L99" s="302">
        <v>476</v>
      </c>
      <c r="M99" s="302">
        <f t="shared" si="10"/>
        <v>245</v>
      </c>
      <c r="N99" s="302">
        <v>0</v>
      </c>
      <c r="O99" s="336">
        <v>0</v>
      </c>
      <c r="P99" s="302">
        <v>40</v>
      </c>
      <c r="Q99" s="302">
        <f t="shared" si="4"/>
        <v>40</v>
      </c>
      <c r="R99" s="302">
        <v>31</v>
      </c>
      <c r="S99" s="302">
        <v>262</v>
      </c>
      <c r="T99" s="302"/>
      <c r="U99" s="302">
        <v>113</v>
      </c>
      <c r="V99" s="299">
        <v>10.4</v>
      </c>
      <c r="W99" s="299">
        <v>3.3</v>
      </c>
      <c r="X99" s="299">
        <v>0.4</v>
      </c>
      <c r="Y99" s="299">
        <v>2.7</v>
      </c>
      <c r="Z99" s="304">
        <v>22.1</v>
      </c>
      <c r="AA99" s="293" t="s">
        <v>309</v>
      </c>
      <c r="AB99" s="310">
        <f t="shared" si="13"/>
        <v>312.90000000000003</v>
      </c>
      <c r="AC99" s="294"/>
      <c r="AD99" s="295"/>
    </row>
    <row r="100" spans="1:30" s="296" customFormat="1" ht="17.25" customHeight="1" x14ac:dyDescent="0.2">
      <c r="A100" s="727" t="s">
        <v>529</v>
      </c>
      <c r="B100" s="297" t="s">
        <v>480</v>
      </c>
      <c r="C100" s="298">
        <v>396</v>
      </c>
      <c r="D100" s="299">
        <v>6.13</v>
      </c>
      <c r="E100" s="299">
        <v>10.24</v>
      </c>
      <c r="F100" s="300">
        <v>161</v>
      </c>
      <c r="G100" s="301">
        <v>0.15</v>
      </c>
      <c r="H100" s="302">
        <f t="shared" si="12"/>
        <v>137</v>
      </c>
      <c r="I100" s="303" t="str">
        <f t="shared" ref="I100:I105" si="14">IF((F100-H100)/6.25&lt;0,ROUND((F100-H100)/6.25,0),"+"&amp;ROUND(((F100-H100)/6.25),0))</f>
        <v>+4</v>
      </c>
      <c r="J100" s="302"/>
      <c r="K100" s="302">
        <v>264</v>
      </c>
      <c r="L100" s="302">
        <v>404</v>
      </c>
      <c r="M100" s="302">
        <f t="shared" si="10"/>
        <v>287</v>
      </c>
      <c r="N100" s="302">
        <v>0</v>
      </c>
      <c r="O100" s="336">
        <v>0</v>
      </c>
      <c r="P100" s="302">
        <v>60</v>
      </c>
      <c r="Q100" s="302">
        <f t="shared" si="4"/>
        <v>60</v>
      </c>
      <c r="R100" s="302">
        <v>37</v>
      </c>
      <c r="S100" s="302">
        <v>210</v>
      </c>
      <c r="T100" s="302"/>
      <c r="U100" s="302">
        <v>111</v>
      </c>
      <c r="V100" s="299">
        <v>12</v>
      </c>
      <c r="W100" s="299">
        <v>3.9</v>
      </c>
      <c r="X100" s="299">
        <v>0.6</v>
      </c>
      <c r="Y100" s="299">
        <v>3</v>
      </c>
      <c r="Z100" s="304">
        <v>25.4</v>
      </c>
      <c r="AA100" s="293" t="s">
        <v>309</v>
      </c>
      <c r="AB100" s="310">
        <f t="shared" si="13"/>
        <v>359.09999999999997</v>
      </c>
      <c r="AC100" s="294"/>
      <c r="AD100" s="295"/>
    </row>
    <row r="101" spans="1:30" s="296" customFormat="1" ht="17.25" customHeight="1" x14ac:dyDescent="0.2">
      <c r="A101" s="727" t="s">
        <v>529</v>
      </c>
      <c r="B101" s="297" t="s">
        <v>481</v>
      </c>
      <c r="C101" s="298">
        <v>385</v>
      </c>
      <c r="D101" s="299">
        <v>5.79</v>
      </c>
      <c r="E101" s="299">
        <v>9.74</v>
      </c>
      <c r="F101" s="300">
        <v>147</v>
      </c>
      <c r="G101" s="301">
        <v>0.15</v>
      </c>
      <c r="H101" s="302">
        <f t="shared" si="12"/>
        <v>129</v>
      </c>
      <c r="I101" s="303" t="str">
        <f t="shared" si="14"/>
        <v>+3</v>
      </c>
      <c r="J101" s="302"/>
      <c r="K101" s="302">
        <v>289</v>
      </c>
      <c r="L101" s="302">
        <v>423</v>
      </c>
      <c r="M101" s="302">
        <f t="shared" si="10"/>
        <v>277</v>
      </c>
      <c r="N101" s="302">
        <v>0</v>
      </c>
      <c r="O101" s="336">
        <v>0</v>
      </c>
      <c r="P101" s="302">
        <v>50</v>
      </c>
      <c r="Q101" s="302">
        <f t="shared" si="4"/>
        <v>50</v>
      </c>
      <c r="R101" s="302">
        <v>35</v>
      </c>
      <c r="S101" s="302">
        <v>231</v>
      </c>
      <c r="T101" s="302"/>
      <c r="U101" s="302">
        <v>118</v>
      </c>
      <c r="V101" s="299">
        <v>11.3</v>
      </c>
      <c r="W101" s="299">
        <v>3.8</v>
      </c>
      <c r="X101" s="299">
        <v>0.6</v>
      </c>
      <c r="Y101" s="299">
        <v>2.8</v>
      </c>
      <c r="Z101" s="304">
        <v>25.3</v>
      </c>
      <c r="AA101" s="293" t="s">
        <v>309</v>
      </c>
      <c r="AB101" s="310">
        <f t="shared" si="13"/>
        <v>357.7</v>
      </c>
      <c r="AC101" s="294"/>
      <c r="AD101" s="295"/>
    </row>
    <row r="102" spans="1:30" s="296" customFormat="1" ht="17.25" customHeight="1" x14ac:dyDescent="0.2">
      <c r="A102" s="727" t="s">
        <v>529</v>
      </c>
      <c r="B102" s="297" t="s">
        <v>482</v>
      </c>
      <c r="C102" s="298">
        <v>352</v>
      </c>
      <c r="D102" s="299">
        <v>5.45</v>
      </c>
      <c r="E102" s="299">
        <v>9.2200000000000006</v>
      </c>
      <c r="F102" s="300">
        <v>142</v>
      </c>
      <c r="G102" s="301">
        <v>0.15</v>
      </c>
      <c r="H102" s="302">
        <f t="shared" si="12"/>
        <v>123</v>
      </c>
      <c r="I102" s="303" t="str">
        <f t="shared" si="14"/>
        <v>+3</v>
      </c>
      <c r="J102" s="302"/>
      <c r="K102" s="302">
        <v>303</v>
      </c>
      <c r="L102" s="302">
        <v>449</v>
      </c>
      <c r="M102" s="302">
        <f t="shared" si="10"/>
        <v>234</v>
      </c>
      <c r="N102" s="302">
        <v>0</v>
      </c>
      <c r="O102" s="336">
        <v>0</v>
      </c>
      <c r="P102" s="302">
        <v>40</v>
      </c>
      <c r="Q102" s="302">
        <f t="shared" si="4"/>
        <v>40</v>
      </c>
      <c r="R102" s="302">
        <v>34</v>
      </c>
      <c r="S102" s="302">
        <v>241</v>
      </c>
      <c r="T102" s="302"/>
      <c r="U102" s="302">
        <v>141</v>
      </c>
      <c r="V102" s="299">
        <v>11.8</v>
      </c>
      <c r="W102" s="299">
        <v>3.5</v>
      </c>
      <c r="X102" s="299">
        <v>0.4</v>
      </c>
      <c r="Y102" s="299">
        <v>2.8</v>
      </c>
      <c r="Z102" s="304">
        <v>25.1</v>
      </c>
      <c r="AA102" s="293" t="s">
        <v>309</v>
      </c>
      <c r="AB102" s="310">
        <f t="shared" si="13"/>
        <v>354.90000000000003</v>
      </c>
      <c r="AC102" s="294"/>
      <c r="AD102" s="295"/>
    </row>
    <row r="103" spans="1:30" s="296" customFormat="1" ht="17.25" customHeight="1" x14ac:dyDescent="0.2">
      <c r="A103" s="727" t="s">
        <v>529</v>
      </c>
      <c r="B103" s="297" t="s">
        <v>483</v>
      </c>
      <c r="C103" s="298">
        <v>356</v>
      </c>
      <c r="D103" s="299">
        <v>6.61</v>
      </c>
      <c r="E103" s="299">
        <v>10.91</v>
      </c>
      <c r="F103" s="300">
        <v>164</v>
      </c>
      <c r="G103" s="301">
        <v>0.15</v>
      </c>
      <c r="H103" s="302">
        <f t="shared" si="12"/>
        <v>144</v>
      </c>
      <c r="I103" s="303" t="str">
        <f t="shared" si="14"/>
        <v>+3</v>
      </c>
      <c r="J103" s="302"/>
      <c r="K103" s="302">
        <v>246</v>
      </c>
      <c r="L103" s="302">
        <v>396</v>
      </c>
      <c r="M103" s="302">
        <f t="shared" si="10"/>
        <v>306</v>
      </c>
      <c r="N103" s="302">
        <v>0</v>
      </c>
      <c r="O103" s="336">
        <v>0</v>
      </c>
      <c r="P103" s="302">
        <v>80</v>
      </c>
      <c r="Q103" s="302">
        <f t="shared" si="4"/>
        <v>80</v>
      </c>
      <c r="R103" s="302">
        <v>38</v>
      </c>
      <c r="S103" s="302">
        <v>212</v>
      </c>
      <c r="T103" s="302"/>
      <c r="U103" s="302">
        <v>96</v>
      </c>
      <c r="V103" s="299">
        <v>6.8</v>
      </c>
      <c r="W103" s="299">
        <v>3.6</v>
      </c>
      <c r="X103" s="299">
        <v>0.6</v>
      </c>
      <c r="Y103" s="299">
        <v>2.1</v>
      </c>
      <c r="Z103" s="304">
        <v>28.3</v>
      </c>
      <c r="AA103" s="293">
        <v>0.06</v>
      </c>
      <c r="AB103" s="310">
        <f t="shared" si="13"/>
        <v>399.7</v>
      </c>
      <c r="AC103" s="294"/>
      <c r="AD103" s="295"/>
    </row>
    <row r="104" spans="1:30" s="296" customFormat="1" ht="17.25" customHeight="1" x14ac:dyDescent="0.2">
      <c r="A104" s="727" t="s">
        <v>529</v>
      </c>
      <c r="B104" s="297" t="s">
        <v>484</v>
      </c>
      <c r="C104" s="298">
        <v>333</v>
      </c>
      <c r="D104" s="299">
        <v>6.18</v>
      </c>
      <c r="E104" s="299">
        <v>10.32</v>
      </c>
      <c r="F104" s="300">
        <v>155</v>
      </c>
      <c r="G104" s="301">
        <v>0.15</v>
      </c>
      <c r="H104" s="302">
        <f t="shared" si="12"/>
        <v>137</v>
      </c>
      <c r="I104" s="303" t="str">
        <f t="shared" si="14"/>
        <v>+3</v>
      </c>
      <c r="J104" s="302"/>
      <c r="K104" s="302">
        <v>274</v>
      </c>
      <c r="L104" s="302">
        <v>429</v>
      </c>
      <c r="M104" s="302">
        <f t="shared" si="10"/>
        <v>278</v>
      </c>
      <c r="N104" s="302">
        <v>0</v>
      </c>
      <c r="O104" s="336">
        <v>0</v>
      </c>
      <c r="P104" s="302">
        <v>50</v>
      </c>
      <c r="Q104" s="302">
        <f t="shared" si="4"/>
        <v>50</v>
      </c>
      <c r="R104" s="302">
        <v>37</v>
      </c>
      <c r="S104" s="302">
        <v>235</v>
      </c>
      <c r="T104" s="302"/>
      <c r="U104" s="302">
        <v>101</v>
      </c>
      <c r="V104" s="299">
        <v>6.9</v>
      </c>
      <c r="W104" s="299">
        <v>3.6</v>
      </c>
      <c r="X104" s="299">
        <v>0.5</v>
      </c>
      <c r="Y104" s="299">
        <v>2.1</v>
      </c>
      <c r="Z104" s="304">
        <v>27.8</v>
      </c>
      <c r="AA104" s="293">
        <v>0.05</v>
      </c>
      <c r="AB104" s="310">
        <f t="shared" si="13"/>
        <v>392.7</v>
      </c>
      <c r="AC104" s="294"/>
      <c r="AD104" s="295"/>
    </row>
    <row r="105" spans="1:30" s="296" customFormat="1" ht="17.25" customHeight="1" x14ac:dyDescent="0.2">
      <c r="A105" s="727" t="s">
        <v>529</v>
      </c>
      <c r="B105" s="297" t="s">
        <v>485</v>
      </c>
      <c r="C105" s="298">
        <v>324</v>
      </c>
      <c r="D105" s="299">
        <v>5.77</v>
      </c>
      <c r="E105" s="299">
        <v>9.74</v>
      </c>
      <c r="F105" s="300">
        <v>141</v>
      </c>
      <c r="G105" s="301">
        <v>0.15</v>
      </c>
      <c r="H105" s="302">
        <f t="shared" si="12"/>
        <v>128</v>
      </c>
      <c r="I105" s="303" t="str">
        <f t="shared" si="14"/>
        <v>+2</v>
      </c>
      <c r="J105" s="302"/>
      <c r="K105" s="302">
        <v>298</v>
      </c>
      <c r="L105" s="302">
        <v>454</v>
      </c>
      <c r="M105" s="302">
        <f t="shared" si="10"/>
        <v>262</v>
      </c>
      <c r="N105" s="302">
        <v>0</v>
      </c>
      <c r="O105" s="336">
        <v>0</v>
      </c>
      <c r="P105" s="302">
        <v>40</v>
      </c>
      <c r="Q105" s="302">
        <f t="shared" si="4"/>
        <v>40</v>
      </c>
      <c r="R105" s="302">
        <v>35</v>
      </c>
      <c r="S105" s="302">
        <v>252</v>
      </c>
      <c r="T105" s="302"/>
      <c r="U105" s="302">
        <v>108</v>
      </c>
      <c r="V105" s="299">
        <v>7.1</v>
      </c>
      <c r="W105" s="299">
        <v>3.4</v>
      </c>
      <c r="X105" s="299">
        <v>0.4</v>
      </c>
      <c r="Y105" s="299">
        <v>2.1</v>
      </c>
      <c r="Z105" s="304">
        <v>26.6</v>
      </c>
      <c r="AA105" s="293">
        <v>0.05</v>
      </c>
      <c r="AB105" s="310">
        <f t="shared" si="13"/>
        <v>375.90000000000003</v>
      </c>
      <c r="AC105" s="294"/>
      <c r="AD105" s="295"/>
    </row>
    <row r="106" spans="1:30" s="296" customFormat="1" ht="17.25" customHeight="1" x14ac:dyDescent="0.2">
      <c r="A106" s="727" t="s">
        <v>529</v>
      </c>
      <c r="B106" s="297" t="s">
        <v>486</v>
      </c>
      <c r="C106" s="298">
        <v>401</v>
      </c>
      <c r="D106" s="299">
        <v>6.36</v>
      </c>
      <c r="E106" s="299">
        <v>10.56</v>
      </c>
      <c r="F106" s="300">
        <v>161</v>
      </c>
      <c r="G106" s="301">
        <v>0.15</v>
      </c>
      <c r="H106" s="302">
        <f t="shared" si="12"/>
        <v>140</v>
      </c>
      <c r="I106" s="303" t="str">
        <f t="shared" ref="I106:I136" si="15">IF((F106-H106)/6.25&lt;0,ROUND((F106-H106)/6.25,0),"+"&amp;ROUND(((F106-H106)/6.25),0))</f>
        <v>+3</v>
      </c>
      <c r="J106" s="302"/>
      <c r="K106" s="302">
        <v>263</v>
      </c>
      <c r="L106" s="302">
        <v>413</v>
      </c>
      <c r="M106" s="302">
        <f t="shared" si="10"/>
        <v>288</v>
      </c>
      <c r="N106" s="302">
        <v>0</v>
      </c>
      <c r="O106" s="336">
        <v>0</v>
      </c>
      <c r="P106" s="302">
        <v>70</v>
      </c>
      <c r="Q106" s="302">
        <f t="shared" si="4"/>
        <v>70</v>
      </c>
      <c r="R106" s="302">
        <v>37</v>
      </c>
      <c r="S106" s="302">
        <v>220</v>
      </c>
      <c r="T106" s="302"/>
      <c r="U106" s="302">
        <v>101</v>
      </c>
      <c r="V106" s="299">
        <v>7.9</v>
      </c>
      <c r="W106" s="299">
        <v>3.8</v>
      </c>
      <c r="X106" s="299">
        <v>0.9</v>
      </c>
      <c r="Y106" s="299">
        <v>2.6</v>
      </c>
      <c r="Z106" s="304">
        <v>26.5</v>
      </c>
      <c r="AA106" s="293">
        <v>7.0000000000000007E-2</v>
      </c>
      <c r="AB106" s="310">
        <f t="shared" si="13"/>
        <v>374.5</v>
      </c>
      <c r="AC106" s="294"/>
      <c r="AD106" s="295"/>
    </row>
    <row r="107" spans="1:30" s="296" customFormat="1" ht="17.25" customHeight="1" x14ac:dyDescent="0.2">
      <c r="A107" s="727" t="s">
        <v>529</v>
      </c>
      <c r="B107" s="297" t="s">
        <v>487</v>
      </c>
      <c r="C107" s="298">
        <v>385</v>
      </c>
      <c r="D107" s="299">
        <v>6.06</v>
      </c>
      <c r="E107" s="299">
        <v>10.14</v>
      </c>
      <c r="F107" s="300">
        <v>152</v>
      </c>
      <c r="G107" s="301">
        <v>0.15</v>
      </c>
      <c r="H107" s="302">
        <f t="shared" si="12"/>
        <v>134</v>
      </c>
      <c r="I107" s="303" t="str">
        <f t="shared" si="15"/>
        <v>+3</v>
      </c>
      <c r="J107" s="302"/>
      <c r="K107" s="302">
        <v>279</v>
      </c>
      <c r="L107" s="302">
        <v>434</v>
      </c>
      <c r="M107" s="302">
        <f t="shared" si="10"/>
        <v>275</v>
      </c>
      <c r="N107" s="302">
        <v>0</v>
      </c>
      <c r="O107" s="336">
        <v>0</v>
      </c>
      <c r="P107" s="302">
        <v>50</v>
      </c>
      <c r="Q107" s="302">
        <f t="shared" si="4"/>
        <v>50</v>
      </c>
      <c r="R107" s="302">
        <v>36</v>
      </c>
      <c r="S107" s="302">
        <v>234</v>
      </c>
      <c r="T107" s="302"/>
      <c r="U107" s="302">
        <v>103</v>
      </c>
      <c r="V107" s="299">
        <v>8.4</v>
      </c>
      <c r="W107" s="299">
        <v>3.6</v>
      </c>
      <c r="X107" s="299">
        <v>0.7</v>
      </c>
      <c r="Y107" s="299">
        <v>2.6</v>
      </c>
      <c r="Z107" s="304">
        <v>26.1</v>
      </c>
      <c r="AA107" s="293">
        <v>7.0000000000000007E-2</v>
      </c>
      <c r="AB107" s="310">
        <f t="shared" si="13"/>
        <v>368.90000000000003</v>
      </c>
      <c r="AC107" s="294"/>
      <c r="AD107" s="295"/>
    </row>
    <row r="108" spans="1:30" s="296" customFormat="1" ht="17.25" customHeight="1" x14ac:dyDescent="0.2">
      <c r="A108" s="727" t="s">
        <v>529</v>
      </c>
      <c r="B108" s="297" t="s">
        <v>488</v>
      </c>
      <c r="C108" s="298">
        <v>380</v>
      </c>
      <c r="D108" s="299">
        <v>5.73</v>
      </c>
      <c r="E108" s="299">
        <v>9.67</v>
      </c>
      <c r="F108" s="300">
        <v>142</v>
      </c>
      <c r="G108" s="301">
        <v>0.15</v>
      </c>
      <c r="H108" s="302">
        <f t="shared" si="12"/>
        <v>127</v>
      </c>
      <c r="I108" s="303" t="str">
        <f t="shared" si="15"/>
        <v>+2</v>
      </c>
      <c r="J108" s="302"/>
      <c r="K108" s="302">
        <v>296</v>
      </c>
      <c r="L108" s="302">
        <v>457</v>
      </c>
      <c r="M108" s="302">
        <f t="shared" si="10"/>
        <v>257</v>
      </c>
      <c r="N108" s="302">
        <v>0</v>
      </c>
      <c r="O108" s="336">
        <v>0</v>
      </c>
      <c r="P108" s="302">
        <v>40</v>
      </c>
      <c r="Q108" s="302">
        <f t="shared" si="4"/>
        <v>40</v>
      </c>
      <c r="R108" s="302">
        <v>34</v>
      </c>
      <c r="S108" s="302">
        <v>247</v>
      </c>
      <c r="T108" s="302"/>
      <c r="U108" s="302">
        <v>110</v>
      </c>
      <c r="V108" s="299">
        <v>8.6</v>
      </c>
      <c r="W108" s="299">
        <v>3.6</v>
      </c>
      <c r="X108" s="299">
        <v>0.6</v>
      </c>
      <c r="Y108" s="299">
        <v>2.6</v>
      </c>
      <c r="Z108" s="304">
        <v>24.7</v>
      </c>
      <c r="AA108" s="293">
        <v>7.0000000000000007E-2</v>
      </c>
      <c r="AB108" s="310">
        <f t="shared" si="13"/>
        <v>349.3</v>
      </c>
      <c r="AC108" s="294"/>
      <c r="AD108" s="295"/>
    </row>
    <row r="109" spans="1:30" s="296" customFormat="1" ht="17.25" customHeight="1" x14ac:dyDescent="0.2">
      <c r="A109" s="727" t="s">
        <v>529</v>
      </c>
      <c r="B109" s="297" t="s">
        <v>489</v>
      </c>
      <c r="C109" s="298">
        <v>405</v>
      </c>
      <c r="D109" s="299">
        <v>6.28</v>
      </c>
      <c r="E109" s="299">
        <v>10.43</v>
      </c>
      <c r="F109" s="300">
        <v>168</v>
      </c>
      <c r="G109" s="301">
        <v>0.15</v>
      </c>
      <c r="H109" s="302">
        <f t="shared" ref="H109:H114" si="16">ROUND((11.93-(6.82*G109))*E109+1.03*G109*F109,0)</f>
        <v>140</v>
      </c>
      <c r="I109" s="303" t="str">
        <f t="shared" si="15"/>
        <v>+4</v>
      </c>
      <c r="J109" s="302"/>
      <c r="K109" s="302">
        <v>262</v>
      </c>
      <c r="L109" s="302">
        <v>415</v>
      </c>
      <c r="M109" s="302">
        <f t="shared" si="10"/>
        <v>269</v>
      </c>
      <c r="N109" s="302">
        <v>0</v>
      </c>
      <c r="O109" s="336">
        <v>0</v>
      </c>
      <c r="P109" s="302">
        <v>70</v>
      </c>
      <c r="Q109" s="302">
        <f t="shared" si="4"/>
        <v>70</v>
      </c>
      <c r="R109" s="302">
        <v>39</v>
      </c>
      <c r="S109" s="302">
        <v>216</v>
      </c>
      <c r="T109" s="302"/>
      <c r="U109" s="302">
        <v>109</v>
      </c>
      <c r="V109" s="299">
        <v>8.3000000000000007</v>
      </c>
      <c r="W109" s="299">
        <v>3.8</v>
      </c>
      <c r="X109" s="299">
        <v>0.7</v>
      </c>
      <c r="Y109" s="299">
        <v>2.8</v>
      </c>
      <c r="Z109" s="304">
        <v>27.1</v>
      </c>
      <c r="AA109" s="293">
        <v>0.08</v>
      </c>
      <c r="AB109" s="310">
        <f t="shared" si="13"/>
        <v>382.90000000000003</v>
      </c>
      <c r="AC109" s="294"/>
      <c r="AD109" s="295"/>
    </row>
    <row r="110" spans="1:30" s="296" customFormat="1" ht="17.25" customHeight="1" x14ac:dyDescent="0.2">
      <c r="A110" s="727" t="s">
        <v>529</v>
      </c>
      <c r="B110" s="297" t="s">
        <v>490</v>
      </c>
      <c r="C110" s="298">
        <v>375</v>
      </c>
      <c r="D110" s="299">
        <v>5.96</v>
      </c>
      <c r="E110" s="299">
        <v>10</v>
      </c>
      <c r="F110" s="300">
        <v>163</v>
      </c>
      <c r="G110" s="301">
        <v>0.15</v>
      </c>
      <c r="H110" s="302">
        <f t="shared" si="16"/>
        <v>134</v>
      </c>
      <c r="I110" s="303" t="str">
        <f t="shared" si="15"/>
        <v>+5</v>
      </c>
      <c r="J110" s="302"/>
      <c r="K110" s="302">
        <v>279</v>
      </c>
      <c r="L110" s="302">
        <v>425</v>
      </c>
      <c r="M110" s="302">
        <f t="shared" si="10"/>
        <v>263</v>
      </c>
      <c r="N110" s="302">
        <v>0</v>
      </c>
      <c r="O110" s="336">
        <v>0</v>
      </c>
      <c r="P110" s="302">
        <v>50</v>
      </c>
      <c r="Q110" s="302">
        <f t="shared" si="4"/>
        <v>50</v>
      </c>
      <c r="R110" s="302">
        <v>38</v>
      </c>
      <c r="S110" s="302">
        <v>227</v>
      </c>
      <c r="T110" s="302"/>
      <c r="U110" s="302">
        <v>111</v>
      </c>
      <c r="V110" s="299">
        <v>9.6</v>
      </c>
      <c r="W110" s="299">
        <v>4</v>
      </c>
      <c r="X110" s="299">
        <v>0.7</v>
      </c>
      <c r="Y110" s="299">
        <v>3</v>
      </c>
      <c r="Z110" s="304">
        <v>26.1</v>
      </c>
      <c r="AA110" s="293">
        <v>7.0000000000000007E-2</v>
      </c>
      <c r="AB110" s="310">
        <f t="shared" si="13"/>
        <v>368.90000000000003</v>
      </c>
      <c r="AC110" s="294"/>
      <c r="AD110" s="295"/>
    </row>
    <row r="111" spans="1:30" s="296" customFormat="1" ht="17.25" customHeight="1" x14ac:dyDescent="0.2">
      <c r="A111" s="727" t="s">
        <v>529</v>
      </c>
      <c r="B111" s="297" t="s">
        <v>491</v>
      </c>
      <c r="C111" s="298">
        <v>361</v>
      </c>
      <c r="D111" s="299">
        <v>5.59</v>
      </c>
      <c r="E111" s="299">
        <v>9.4499999999999993</v>
      </c>
      <c r="F111" s="300">
        <v>153</v>
      </c>
      <c r="G111" s="301">
        <v>0.15</v>
      </c>
      <c r="H111" s="302">
        <f t="shared" si="16"/>
        <v>127</v>
      </c>
      <c r="I111" s="303" t="str">
        <f t="shared" si="15"/>
        <v>+4</v>
      </c>
      <c r="J111" s="302"/>
      <c r="K111" s="302">
        <v>298</v>
      </c>
      <c r="L111" s="302">
        <v>443</v>
      </c>
      <c r="M111" s="302">
        <f t="shared" si="10"/>
        <v>247</v>
      </c>
      <c r="N111" s="302">
        <v>0</v>
      </c>
      <c r="O111" s="336">
        <v>0</v>
      </c>
      <c r="P111" s="302">
        <v>40</v>
      </c>
      <c r="Q111" s="302">
        <f t="shared" si="4"/>
        <v>40</v>
      </c>
      <c r="R111" s="302">
        <v>35</v>
      </c>
      <c r="S111" s="302">
        <v>240</v>
      </c>
      <c r="T111" s="302"/>
      <c r="U111" s="302">
        <v>122</v>
      </c>
      <c r="V111" s="299">
        <v>9.6999999999999993</v>
      </c>
      <c r="W111" s="299">
        <v>3.8</v>
      </c>
      <c r="X111" s="299">
        <v>0.6</v>
      </c>
      <c r="Y111" s="299">
        <v>3.1</v>
      </c>
      <c r="Z111" s="304">
        <v>24.6</v>
      </c>
      <c r="AA111" s="293">
        <v>7.0000000000000007E-2</v>
      </c>
      <c r="AB111" s="310">
        <f t="shared" si="13"/>
        <v>347.90000000000003</v>
      </c>
      <c r="AC111" s="294"/>
      <c r="AD111" s="295"/>
    </row>
    <row r="112" spans="1:30" s="296" customFormat="1" ht="17.25" customHeight="1" x14ac:dyDescent="0.2">
      <c r="A112" s="727" t="s">
        <v>529</v>
      </c>
      <c r="B112" s="297" t="s">
        <v>492</v>
      </c>
      <c r="C112" s="298">
        <v>379</v>
      </c>
      <c r="D112" s="299">
        <v>6.39</v>
      </c>
      <c r="E112" s="299">
        <v>10.57</v>
      </c>
      <c r="F112" s="300">
        <v>176</v>
      </c>
      <c r="G112" s="301">
        <v>0.15</v>
      </c>
      <c r="H112" s="302">
        <f t="shared" si="16"/>
        <v>142</v>
      </c>
      <c r="I112" s="303" t="str">
        <f t="shared" si="15"/>
        <v>+5</v>
      </c>
      <c r="J112" s="302"/>
      <c r="K112" s="302">
        <v>247</v>
      </c>
      <c r="L112" s="302">
        <v>386</v>
      </c>
      <c r="M112" s="302">
        <f t="shared" si="10"/>
        <v>277</v>
      </c>
      <c r="N112" s="302">
        <v>0</v>
      </c>
      <c r="O112" s="336">
        <v>0</v>
      </c>
      <c r="P112" s="302">
        <v>70</v>
      </c>
      <c r="Q112" s="302">
        <f t="shared" si="4"/>
        <v>70</v>
      </c>
      <c r="R112" s="302">
        <v>39</v>
      </c>
      <c r="S112" s="302">
        <v>200</v>
      </c>
      <c r="T112" s="302"/>
      <c r="U112" s="302">
        <v>122</v>
      </c>
      <c r="V112" s="299">
        <v>9.1</v>
      </c>
      <c r="W112" s="299">
        <v>4.4000000000000004</v>
      </c>
      <c r="X112" s="299">
        <v>0.6</v>
      </c>
      <c r="Y112" s="299">
        <v>2.9</v>
      </c>
      <c r="Z112" s="304">
        <v>29.6</v>
      </c>
      <c r="AA112" s="293">
        <v>7.0000000000000007E-2</v>
      </c>
      <c r="AB112" s="310">
        <f t="shared" si="13"/>
        <v>417.90000000000003</v>
      </c>
      <c r="AC112" s="294"/>
      <c r="AD112" s="295"/>
    </row>
    <row r="113" spans="1:36" s="296" customFormat="1" ht="17.25" customHeight="1" x14ac:dyDescent="0.2">
      <c r="A113" s="727" t="s">
        <v>529</v>
      </c>
      <c r="B113" s="297" t="s">
        <v>493</v>
      </c>
      <c r="C113" s="298">
        <v>373</v>
      </c>
      <c r="D113" s="299">
        <v>6.08</v>
      </c>
      <c r="E113" s="299">
        <v>10.130000000000001</v>
      </c>
      <c r="F113" s="300">
        <v>170</v>
      </c>
      <c r="G113" s="301">
        <v>0.15</v>
      </c>
      <c r="H113" s="302">
        <f t="shared" si="16"/>
        <v>137</v>
      </c>
      <c r="I113" s="303" t="str">
        <f t="shared" si="15"/>
        <v>+5</v>
      </c>
      <c r="J113" s="302"/>
      <c r="K113" s="302">
        <v>266</v>
      </c>
      <c r="L113" s="302">
        <v>406</v>
      </c>
      <c r="M113" s="302">
        <f t="shared" si="10"/>
        <v>257</v>
      </c>
      <c r="N113" s="302">
        <v>0</v>
      </c>
      <c r="O113" s="336">
        <v>0</v>
      </c>
      <c r="P113" s="302">
        <v>50</v>
      </c>
      <c r="Q113" s="302">
        <f t="shared" si="4"/>
        <v>50</v>
      </c>
      <c r="R113" s="302">
        <v>38</v>
      </c>
      <c r="S113" s="302">
        <v>216</v>
      </c>
      <c r="T113" s="302"/>
      <c r="U113" s="302">
        <v>129</v>
      </c>
      <c r="V113" s="299">
        <v>8.9</v>
      </c>
      <c r="W113" s="299">
        <v>4.0999999999999996</v>
      </c>
      <c r="X113" s="299">
        <v>0.7</v>
      </c>
      <c r="Y113" s="299">
        <v>3</v>
      </c>
      <c r="Z113" s="304">
        <v>25.8</v>
      </c>
      <c r="AA113" s="293">
        <v>7.0000000000000007E-2</v>
      </c>
      <c r="AB113" s="310">
        <f t="shared" si="13"/>
        <v>364.7</v>
      </c>
      <c r="AC113" s="294"/>
      <c r="AD113" s="295"/>
    </row>
    <row r="114" spans="1:36" s="296" customFormat="1" ht="17.25" customHeight="1" x14ac:dyDescent="0.2">
      <c r="A114" s="727" t="s">
        <v>529</v>
      </c>
      <c r="B114" s="297" t="s">
        <v>494</v>
      </c>
      <c r="C114" s="298">
        <v>337</v>
      </c>
      <c r="D114" s="299">
        <v>5.78</v>
      </c>
      <c r="E114" s="299">
        <v>9.66</v>
      </c>
      <c r="F114" s="300">
        <v>173</v>
      </c>
      <c r="G114" s="301">
        <v>0.15</v>
      </c>
      <c r="H114" s="302">
        <f t="shared" si="16"/>
        <v>132</v>
      </c>
      <c r="I114" s="303" t="str">
        <f t="shared" si="15"/>
        <v>+7</v>
      </c>
      <c r="J114" s="302"/>
      <c r="K114" s="302">
        <v>264</v>
      </c>
      <c r="L114" s="302">
        <v>415</v>
      </c>
      <c r="M114" s="302">
        <f t="shared" si="10"/>
        <v>216</v>
      </c>
      <c r="N114" s="302">
        <v>0</v>
      </c>
      <c r="O114" s="336">
        <v>0</v>
      </c>
      <c r="P114" s="302">
        <v>40</v>
      </c>
      <c r="Q114" s="302">
        <f t="shared" si="4"/>
        <v>40</v>
      </c>
      <c r="R114" s="302">
        <v>38</v>
      </c>
      <c r="S114" s="302">
        <v>211</v>
      </c>
      <c r="T114" s="302"/>
      <c r="U114" s="302">
        <v>158</v>
      </c>
      <c r="V114" s="299">
        <v>7.8</v>
      </c>
      <c r="W114" s="299">
        <v>4.2</v>
      </c>
      <c r="X114" s="299">
        <v>0.9</v>
      </c>
      <c r="Y114" s="299">
        <v>3.1</v>
      </c>
      <c r="Z114" s="304">
        <v>28.9</v>
      </c>
      <c r="AA114" s="293">
        <v>7.0000000000000007E-2</v>
      </c>
      <c r="AB114" s="310">
        <f t="shared" si="13"/>
        <v>408.09999999999997</v>
      </c>
      <c r="AC114" s="294"/>
      <c r="AD114" s="295"/>
    </row>
    <row r="115" spans="1:36" s="296" customFormat="1" ht="17.25" customHeight="1" x14ac:dyDescent="0.2">
      <c r="A115" s="727" t="s">
        <v>529</v>
      </c>
      <c r="B115" s="297" t="s">
        <v>406</v>
      </c>
      <c r="C115" s="298">
        <v>190</v>
      </c>
      <c r="D115" s="299">
        <v>6.3</v>
      </c>
      <c r="E115" s="299">
        <v>10.4</v>
      </c>
      <c r="F115" s="300">
        <v>115</v>
      </c>
      <c r="G115" s="301">
        <v>0.15</v>
      </c>
      <c r="H115" s="302">
        <v>130</v>
      </c>
      <c r="I115" s="303">
        <f t="shared" si="15"/>
        <v>-2</v>
      </c>
      <c r="J115" s="302"/>
      <c r="K115" s="302">
        <v>305</v>
      </c>
      <c r="L115" s="302">
        <v>525</v>
      </c>
      <c r="M115" s="302">
        <f t="shared" si="10"/>
        <v>169</v>
      </c>
      <c r="N115" s="302">
        <v>0</v>
      </c>
      <c r="O115" s="336">
        <v>0</v>
      </c>
      <c r="P115" s="302">
        <v>2</v>
      </c>
      <c r="Q115" s="302">
        <f t="shared" si="4"/>
        <v>2</v>
      </c>
      <c r="R115" s="302">
        <v>40</v>
      </c>
      <c r="S115" s="302">
        <v>260</v>
      </c>
      <c r="T115" s="302"/>
      <c r="U115" s="302">
        <v>151</v>
      </c>
      <c r="V115" s="299">
        <v>5.7</v>
      </c>
      <c r="W115" s="299">
        <v>4</v>
      </c>
      <c r="X115" s="299">
        <v>1</v>
      </c>
      <c r="Y115" s="299">
        <v>2</v>
      </c>
      <c r="Z115" s="304">
        <v>22</v>
      </c>
      <c r="AA115" s="293" t="s">
        <v>309</v>
      </c>
      <c r="AB115" s="310" t="s">
        <v>309</v>
      </c>
      <c r="AC115" s="294"/>
      <c r="AD115" s="295"/>
    </row>
    <row r="116" spans="1:36" s="296" customFormat="1" ht="17.25" customHeight="1" x14ac:dyDescent="0.2">
      <c r="A116" s="727"/>
      <c r="B116" s="297" t="s">
        <v>104</v>
      </c>
      <c r="C116" s="298">
        <v>180</v>
      </c>
      <c r="D116" s="299">
        <v>7.08</v>
      </c>
      <c r="E116" s="299">
        <v>11.46</v>
      </c>
      <c r="F116" s="300">
        <v>49</v>
      </c>
      <c r="G116" s="301">
        <v>0.25</v>
      </c>
      <c r="H116" s="302">
        <f>ROUND((11.93-(6.82*G116))*E116+1.03*G116*F116,0)</f>
        <v>130</v>
      </c>
      <c r="I116" s="303">
        <f t="shared" si="15"/>
        <v>-13</v>
      </c>
      <c r="J116" s="302"/>
      <c r="K116" s="302">
        <v>315</v>
      </c>
      <c r="L116" s="302">
        <v>365</v>
      </c>
      <c r="M116" s="302">
        <f t="shared" si="10"/>
        <v>546</v>
      </c>
      <c r="N116" s="302">
        <v>380</v>
      </c>
      <c r="O116" s="336">
        <v>0.25</v>
      </c>
      <c r="P116" s="302">
        <v>15</v>
      </c>
      <c r="Q116" s="302">
        <f t="shared" si="4"/>
        <v>394.05</v>
      </c>
      <c r="R116" s="302">
        <v>5</v>
      </c>
      <c r="S116" s="302">
        <v>208</v>
      </c>
      <c r="T116" s="302"/>
      <c r="U116" s="302">
        <v>35</v>
      </c>
      <c r="V116" s="299">
        <v>0.7</v>
      </c>
      <c r="W116" s="299">
        <v>2.7</v>
      </c>
      <c r="X116" s="299">
        <v>0.1</v>
      </c>
      <c r="Y116" s="299">
        <v>0.7</v>
      </c>
      <c r="Z116" s="304">
        <v>12</v>
      </c>
      <c r="AA116" s="293" t="s">
        <v>309</v>
      </c>
      <c r="AB116" s="310" t="s">
        <v>309</v>
      </c>
      <c r="AC116" s="294"/>
      <c r="AD116" s="295" t="str">
        <f t="shared" ref="AD116:AD121" si="17">IF(COUNTA(B116:AA116)&lt;21,"x","")</f>
        <v/>
      </c>
      <c r="AE116" s="296">
        <f>+S116</f>
        <v>208</v>
      </c>
      <c r="AF116" s="296">
        <f>IF(N116=0,0.0001,N116)</f>
        <v>380</v>
      </c>
      <c r="AG116" s="296">
        <v>0.1</v>
      </c>
      <c r="AH116" s="296">
        <f>+AF116*AG116</f>
        <v>38</v>
      </c>
      <c r="AI116" s="296">
        <f>+P116</f>
        <v>15</v>
      </c>
      <c r="AJ116" s="296">
        <f>0.9-1.3*AG116</f>
        <v>0.77</v>
      </c>
    </row>
    <row r="117" spans="1:36" s="296" customFormat="1" ht="17.25" customHeight="1" x14ac:dyDescent="0.2">
      <c r="A117" s="727" t="s">
        <v>529</v>
      </c>
      <c r="B117" s="297" t="s">
        <v>430</v>
      </c>
      <c r="C117" s="298">
        <v>317</v>
      </c>
      <c r="D117" s="299">
        <v>6.39</v>
      </c>
      <c r="E117" s="299">
        <v>10.58</v>
      </c>
      <c r="F117" s="300">
        <v>151</v>
      </c>
      <c r="G117" s="301">
        <v>0.15</v>
      </c>
      <c r="H117" s="302">
        <v>138</v>
      </c>
      <c r="I117" s="303" t="str">
        <f t="shared" si="15"/>
        <v>+2</v>
      </c>
      <c r="J117" s="302"/>
      <c r="K117" s="302">
        <v>257</v>
      </c>
      <c r="L117" s="302">
        <v>402</v>
      </c>
      <c r="M117" s="302">
        <f t="shared" si="10"/>
        <v>305</v>
      </c>
      <c r="N117" s="302">
        <v>0</v>
      </c>
      <c r="O117" s="336">
        <v>0</v>
      </c>
      <c r="P117" s="302">
        <v>90</v>
      </c>
      <c r="Q117" s="302">
        <f t="shared" si="4"/>
        <v>90</v>
      </c>
      <c r="R117" s="302">
        <v>36</v>
      </c>
      <c r="S117" s="302">
        <v>223</v>
      </c>
      <c r="T117" s="302"/>
      <c r="U117" s="302">
        <v>106</v>
      </c>
      <c r="V117" s="299">
        <v>7.8</v>
      </c>
      <c r="W117" s="299">
        <v>4.0999999999999996</v>
      </c>
      <c r="X117" s="299">
        <v>0.7</v>
      </c>
      <c r="Y117" s="299">
        <v>1.9</v>
      </c>
      <c r="Z117" s="304">
        <v>29.5</v>
      </c>
      <c r="AA117" s="293" t="s">
        <v>309</v>
      </c>
      <c r="AB117" s="310">
        <v>520</v>
      </c>
      <c r="AC117" s="294"/>
      <c r="AD117" s="295" t="str">
        <f t="shared" si="17"/>
        <v/>
      </c>
    </row>
    <row r="118" spans="1:36" s="296" customFormat="1" ht="17.25" customHeight="1" x14ac:dyDescent="0.2">
      <c r="A118" s="727" t="s">
        <v>529</v>
      </c>
      <c r="B118" s="297" t="s">
        <v>431</v>
      </c>
      <c r="C118" s="298">
        <v>310</v>
      </c>
      <c r="D118" s="299">
        <v>5.98</v>
      </c>
      <c r="E118" s="299">
        <v>10.039999999999999</v>
      </c>
      <c r="F118" s="300">
        <v>154</v>
      </c>
      <c r="G118" s="301">
        <v>0.15</v>
      </c>
      <c r="H118" s="302">
        <f>ROUND((11.93-(6.82*G118))*E118+1.03*G118*F118,0)</f>
        <v>133</v>
      </c>
      <c r="I118" s="303" t="str">
        <f t="shared" si="15"/>
        <v>+3</v>
      </c>
      <c r="J118" s="302"/>
      <c r="K118" s="302">
        <v>289</v>
      </c>
      <c r="L118" s="302">
        <v>418</v>
      </c>
      <c r="M118" s="302">
        <f t="shared" si="10"/>
        <v>295</v>
      </c>
      <c r="N118" s="302">
        <v>0</v>
      </c>
      <c r="O118" s="336">
        <v>0</v>
      </c>
      <c r="P118" s="302">
        <v>50</v>
      </c>
      <c r="Q118" s="302">
        <f t="shared" si="4"/>
        <v>50</v>
      </c>
      <c r="R118" s="302">
        <v>32</v>
      </c>
      <c r="S118" s="302">
        <v>244</v>
      </c>
      <c r="T118" s="302"/>
      <c r="U118" s="302">
        <v>101</v>
      </c>
      <c r="V118" s="299">
        <v>10</v>
      </c>
      <c r="W118" s="299">
        <v>3.9</v>
      </c>
      <c r="X118" s="299">
        <v>0.7</v>
      </c>
      <c r="Y118" s="299">
        <v>1.4</v>
      </c>
      <c r="Z118" s="304">
        <v>30.1</v>
      </c>
      <c r="AA118" s="293" t="s">
        <v>309</v>
      </c>
      <c r="AB118" s="310">
        <v>550</v>
      </c>
      <c r="AC118" s="294"/>
      <c r="AD118" s="295" t="str">
        <f t="shared" si="17"/>
        <v/>
      </c>
    </row>
    <row r="119" spans="1:36" s="296" customFormat="1" ht="17.25" customHeight="1" x14ac:dyDescent="0.2">
      <c r="A119" s="727" t="s">
        <v>529</v>
      </c>
      <c r="B119" s="297" t="s">
        <v>432</v>
      </c>
      <c r="C119" s="298">
        <v>303</v>
      </c>
      <c r="D119" s="299">
        <v>5.35</v>
      </c>
      <c r="E119" s="299">
        <v>9.15</v>
      </c>
      <c r="F119" s="300">
        <v>139</v>
      </c>
      <c r="G119" s="301">
        <v>0.15</v>
      </c>
      <c r="H119" s="302">
        <v>121</v>
      </c>
      <c r="I119" s="303" t="str">
        <f t="shared" si="15"/>
        <v>+3</v>
      </c>
      <c r="J119" s="357"/>
      <c r="K119" s="302">
        <v>339</v>
      </c>
      <c r="L119" s="302">
        <v>504</v>
      </c>
      <c r="M119" s="302">
        <f t="shared" ref="M119:M139" si="18">IF(AND(U119&lt;&gt;"",F119&lt;&gt;"",L119&lt;&gt;"",R119&lt;&gt;""),1000-F119-L119-R119-U119,"Fehler")</f>
        <v>223</v>
      </c>
      <c r="N119" s="302">
        <v>0</v>
      </c>
      <c r="O119" s="336">
        <v>0</v>
      </c>
      <c r="P119" s="302">
        <v>40</v>
      </c>
      <c r="Q119" s="302">
        <f t="shared" si="4"/>
        <v>40</v>
      </c>
      <c r="R119" s="302">
        <v>35</v>
      </c>
      <c r="S119" s="302">
        <v>289</v>
      </c>
      <c r="T119" s="302"/>
      <c r="U119" s="302">
        <v>99</v>
      </c>
      <c r="V119" s="299">
        <v>9</v>
      </c>
      <c r="W119" s="299">
        <v>3</v>
      </c>
      <c r="X119" s="299">
        <v>1.6</v>
      </c>
      <c r="Y119" s="299">
        <v>2.2999999999999998</v>
      </c>
      <c r="Z119" s="304">
        <v>20</v>
      </c>
      <c r="AA119" s="293" t="s">
        <v>309</v>
      </c>
      <c r="AB119" s="310">
        <v>400</v>
      </c>
      <c r="AC119" s="294"/>
      <c r="AD119" s="295" t="str">
        <f t="shared" si="17"/>
        <v/>
      </c>
    </row>
    <row r="120" spans="1:36" s="296" customFormat="1" ht="17.25" customHeight="1" x14ac:dyDescent="0.2">
      <c r="A120" s="727" t="s">
        <v>529</v>
      </c>
      <c r="B120" s="297" t="s">
        <v>427</v>
      </c>
      <c r="C120" s="310">
        <f>(413*3+398*1)/4</f>
        <v>409.25</v>
      </c>
      <c r="D120" s="299">
        <f>(6.12*3+5.9*1)/4</f>
        <v>6.0649999999999995</v>
      </c>
      <c r="E120" s="299">
        <f>(10.23*3+9.9*1)/4</f>
        <v>10.147500000000001</v>
      </c>
      <c r="F120" s="300">
        <f>(126*3+163*1)/4</f>
        <v>135.25</v>
      </c>
      <c r="G120" s="301">
        <v>0.15</v>
      </c>
      <c r="H120" s="302">
        <f>ROUND((11.93-(6.82*G120))*E120+1.03*G120*F120,0)</f>
        <v>132</v>
      </c>
      <c r="I120" s="303" t="str">
        <f t="shared" si="15"/>
        <v>+1</v>
      </c>
      <c r="J120" s="302"/>
      <c r="K120" s="302">
        <f>(284*3+290*1)/4</f>
        <v>285.5</v>
      </c>
      <c r="L120" s="302">
        <f>(426*3+425*1)/4</f>
        <v>425.75</v>
      </c>
      <c r="M120" s="302">
        <f t="shared" si="18"/>
        <v>301.25</v>
      </c>
      <c r="N120" s="302">
        <v>0</v>
      </c>
      <c r="O120" s="336">
        <v>0</v>
      </c>
      <c r="P120" s="302">
        <v>90</v>
      </c>
      <c r="Q120" s="302">
        <f t="shared" si="4"/>
        <v>90</v>
      </c>
      <c r="R120" s="302">
        <f>(35*3+35*1)/4</f>
        <v>35</v>
      </c>
      <c r="S120" s="302">
        <f>(243*3+248*1)/4</f>
        <v>244.25</v>
      </c>
      <c r="T120" s="302"/>
      <c r="U120" s="302">
        <f>(102*3+105*1)/4</f>
        <v>102.75</v>
      </c>
      <c r="V120" s="299">
        <v>6.6</v>
      </c>
      <c r="W120" s="299">
        <v>4.0999999999999996</v>
      </c>
      <c r="X120" s="299">
        <v>0.4</v>
      </c>
      <c r="Y120" s="299">
        <v>1.6</v>
      </c>
      <c r="Z120" s="304">
        <v>29.5</v>
      </c>
      <c r="AA120" s="293" t="s">
        <v>309</v>
      </c>
      <c r="AB120" s="310">
        <v>445</v>
      </c>
      <c r="AC120" s="294"/>
      <c r="AD120" s="295" t="str">
        <f t="shared" si="17"/>
        <v/>
      </c>
    </row>
    <row r="121" spans="1:36" s="296" customFormat="1" ht="17.25" customHeight="1" x14ac:dyDescent="0.2">
      <c r="A121" s="727" t="s">
        <v>529</v>
      </c>
      <c r="B121" s="297" t="s">
        <v>428</v>
      </c>
      <c r="C121" s="310">
        <f>(397*12+342*4)/16</f>
        <v>383.25</v>
      </c>
      <c r="D121" s="299">
        <f>(5.79*12+5.73*4)/16</f>
        <v>5.7750000000000004</v>
      </c>
      <c r="E121" s="299">
        <f>(9.75*12+9.66*4)/16</f>
        <v>9.7274999999999991</v>
      </c>
      <c r="F121" s="300">
        <f>(142*12+161*4)/16</f>
        <v>146.75</v>
      </c>
      <c r="G121" s="301">
        <v>0.15</v>
      </c>
      <c r="H121" s="302">
        <f>ROUND((11.93-(6.82*G121))*E121+1.03*G121*F121,0)</f>
        <v>129</v>
      </c>
      <c r="I121" s="303" t="str">
        <f t="shared" si="15"/>
        <v>+3</v>
      </c>
      <c r="J121" s="302"/>
      <c r="K121" s="302">
        <f>(304*12+292*4)/16</f>
        <v>301</v>
      </c>
      <c r="L121" s="302">
        <f>(458*12+457*4)/16</f>
        <v>457.75</v>
      </c>
      <c r="M121" s="302">
        <f t="shared" si="18"/>
        <v>260.75</v>
      </c>
      <c r="N121" s="302">
        <v>0</v>
      </c>
      <c r="O121" s="336">
        <v>0</v>
      </c>
      <c r="P121" s="302">
        <v>50</v>
      </c>
      <c r="Q121" s="302">
        <f t="shared" si="4"/>
        <v>50</v>
      </c>
      <c r="R121" s="302">
        <f>(31*12+36*4)/16</f>
        <v>32.25</v>
      </c>
      <c r="S121" s="302">
        <f>(262*12+246*4)/16</f>
        <v>258</v>
      </c>
      <c r="T121" s="302"/>
      <c r="U121" s="302">
        <f>(98*12+116*4)/16</f>
        <v>102.5</v>
      </c>
      <c r="V121" s="299">
        <v>6.6</v>
      </c>
      <c r="W121" s="299">
        <v>4.0999999999999996</v>
      </c>
      <c r="X121" s="299">
        <v>0.4</v>
      </c>
      <c r="Y121" s="299">
        <v>1.6</v>
      </c>
      <c r="Z121" s="304">
        <v>29.5</v>
      </c>
      <c r="AA121" s="293" t="s">
        <v>309</v>
      </c>
      <c r="AB121" s="310">
        <v>445</v>
      </c>
      <c r="AC121" s="294"/>
      <c r="AD121" s="295" t="str">
        <f t="shared" si="17"/>
        <v/>
      </c>
    </row>
    <row r="122" spans="1:36" s="296" customFormat="1" ht="17.25" customHeight="1" x14ac:dyDescent="0.2">
      <c r="A122" s="727" t="s">
        <v>529</v>
      </c>
      <c r="B122" s="297" t="s">
        <v>429</v>
      </c>
      <c r="C122" s="298">
        <f>(402*3+382*2)/5</f>
        <v>394</v>
      </c>
      <c r="D122" s="299">
        <f>(5.34*3+5.6*2)/5</f>
        <v>5.444</v>
      </c>
      <c r="E122" s="299">
        <f>(9.06*3+9.45*2)/5</f>
        <v>9.2159999999999993</v>
      </c>
      <c r="F122" s="300">
        <f>(132*3+152*2)/5</f>
        <v>140</v>
      </c>
      <c r="G122" s="301">
        <v>0.15</v>
      </c>
      <c r="H122" s="302">
        <f>ROUND((11.93-(6.82*G122))*E122+1.03*G122*F122,0)</f>
        <v>122</v>
      </c>
      <c r="I122" s="303" t="str">
        <f t="shared" si="15"/>
        <v>+3</v>
      </c>
      <c r="J122" s="302"/>
      <c r="K122" s="302">
        <f>(341*3+301*2)/5</f>
        <v>325</v>
      </c>
      <c r="L122" s="302">
        <f>(478*3+458*2)/5</f>
        <v>470</v>
      </c>
      <c r="M122" s="302">
        <f t="shared" si="18"/>
        <v>236.40000000000003</v>
      </c>
      <c r="N122" s="302">
        <v>0</v>
      </c>
      <c r="O122" s="336">
        <v>0</v>
      </c>
      <c r="P122" s="302">
        <v>40</v>
      </c>
      <c r="Q122" s="302">
        <f t="shared" ref="Q122:Q185" si="19">N122*(100-O122)/100+P122</f>
        <v>40</v>
      </c>
      <c r="R122" s="302">
        <f>(28*3+34*2)/5</f>
        <v>30.4</v>
      </c>
      <c r="S122" s="302">
        <f>(278*3+249*2)/5</f>
        <v>266.39999999999998</v>
      </c>
      <c r="T122" s="302"/>
      <c r="U122" s="302">
        <f>(124*3+122*2)/5</f>
        <v>123.2</v>
      </c>
      <c r="V122" s="299">
        <v>11.8</v>
      </c>
      <c r="W122" s="299">
        <v>4.5</v>
      </c>
      <c r="X122" s="299">
        <v>0.5</v>
      </c>
      <c r="Y122" s="299">
        <v>2.4</v>
      </c>
      <c r="Z122" s="304">
        <v>34.6</v>
      </c>
      <c r="AA122" s="293"/>
      <c r="AB122" s="310">
        <v>580</v>
      </c>
      <c r="AC122" s="294"/>
      <c r="AD122" s="295"/>
    </row>
    <row r="123" spans="1:36" s="296" customFormat="1" ht="17.25" customHeight="1" x14ac:dyDescent="0.2">
      <c r="A123" s="727"/>
      <c r="B123" s="297" t="s">
        <v>107</v>
      </c>
      <c r="C123" s="298">
        <v>480</v>
      </c>
      <c r="D123" s="299">
        <v>7.47</v>
      </c>
      <c r="E123" s="299">
        <v>12.09</v>
      </c>
      <c r="F123" s="300">
        <v>95</v>
      </c>
      <c r="G123" s="301">
        <v>0.35</v>
      </c>
      <c r="H123" s="302">
        <f>ROUND((11.93-(6.82*G123))*E123+1.03*G123*F123,0)</f>
        <v>150</v>
      </c>
      <c r="I123" s="303">
        <f t="shared" si="15"/>
        <v>-9</v>
      </c>
      <c r="J123" s="302"/>
      <c r="K123" s="302">
        <f>S123*1.16</f>
        <v>162.39999999999998</v>
      </c>
      <c r="L123" s="302">
        <f>S123*3</f>
        <v>420</v>
      </c>
      <c r="M123" s="302">
        <f t="shared" si="18"/>
        <v>425</v>
      </c>
      <c r="N123" s="302">
        <v>445</v>
      </c>
      <c r="O123" s="336">
        <v>0.2</v>
      </c>
      <c r="P123" s="302">
        <v>10</v>
      </c>
      <c r="Q123" s="302">
        <f t="shared" si="19"/>
        <v>454.11</v>
      </c>
      <c r="R123" s="302">
        <v>35</v>
      </c>
      <c r="S123" s="302">
        <v>140</v>
      </c>
      <c r="T123" s="302"/>
      <c r="U123" s="302">
        <v>25</v>
      </c>
      <c r="V123" s="299">
        <v>1</v>
      </c>
      <c r="W123" s="299">
        <v>2.5</v>
      </c>
      <c r="X123" s="299">
        <v>0.3</v>
      </c>
      <c r="Y123" s="299">
        <v>1.2</v>
      </c>
      <c r="Z123" s="304">
        <v>6</v>
      </c>
      <c r="AA123" s="293" t="s">
        <v>309</v>
      </c>
      <c r="AB123" s="310" t="s">
        <v>309</v>
      </c>
      <c r="AC123" s="294"/>
      <c r="AD123" s="295" t="str">
        <f>IF(COUNTA(B123:AA123)&lt;21,"x","")</f>
        <v/>
      </c>
      <c r="AE123" s="296">
        <f>+S123</f>
        <v>140</v>
      </c>
      <c r="AF123" s="296">
        <f>IF(N123=0,0.0001,N123)</f>
        <v>445</v>
      </c>
      <c r="AG123" s="296">
        <v>0.3</v>
      </c>
      <c r="AH123" s="296">
        <f>+AF123*AG123</f>
        <v>133.5</v>
      </c>
      <c r="AI123" s="296">
        <f>+P123</f>
        <v>10</v>
      </c>
      <c r="AJ123" s="296">
        <f>0.9-1.3*AG123</f>
        <v>0.51</v>
      </c>
    </row>
    <row r="124" spans="1:36" s="296" customFormat="1" ht="17.25" customHeight="1" x14ac:dyDescent="0.2">
      <c r="A124" s="727" t="s">
        <v>529</v>
      </c>
      <c r="B124" s="297" t="s">
        <v>412</v>
      </c>
      <c r="C124" s="298">
        <v>335</v>
      </c>
      <c r="D124" s="299">
        <v>6.1</v>
      </c>
      <c r="E124" s="299">
        <v>10.199999999999999</v>
      </c>
      <c r="F124" s="300">
        <v>166</v>
      </c>
      <c r="G124" s="301">
        <v>0.2</v>
      </c>
      <c r="H124" s="302">
        <v>135</v>
      </c>
      <c r="I124" s="303" t="str">
        <f t="shared" si="15"/>
        <v>+5</v>
      </c>
      <c r="J124" s="302"/>
      <c r="K124" s="302">
        <v>308</v>
      </c>
      <c r="L124" s="302">
        <v>414</v>
      </c>
      <c r="M124" s="302">
        <f t="shared" si="18"/>
        <v>285</v>
      </c>
      <c r="N124" s="302">
        <v>0</v>
      </c>
      <c r="O124" s="336">
        <v>0</v>
      </c>
      <c r="P124" s="302">
        <v>36</v>
      </c>
      <c r="Q124" s="302">
        <f t="shared" si="19"/>
        <v>36</v>
      </c>
      <c r="R124" s="302">
        <v>32</v>
      </c>
      <c r="S124" s="302">
        <v>247</v>
      </c>
      <c r="T124" s="302"/>
      <c r="U124" s="302">
        <v>103</v>
      </c>
      <c r="V124" s="299">
        <v>12</v>
      </c>
      <c r="W124" s="299">
        <v>3.3</v>
      </c>
      <c r="X124" s="299">
        <v>0.5</v>
      </c>
      <c r="Y124" s="299">
        <v>2.2999999999999998</v>
      </c>
      <c r="Z124" s="304">
        <v>27</v>
      </c>
      <c r="AA124" s="293" t="s">
        <v>309</v>
      </c>
      <c r="AB124" s="310">
        <f>14*Z124+3.5</f>
        <v>381.5</v>
      </c>
      <c r="AC124" s="294"/>
      <c r="AD124" s="295" t="str">
        <f>IF(COUNTA(B124:AA124)&lt;21,"x","")</f>
        <v/>
      </c>
    </row>
    <row r="125" spans="1:36" s="296" customFormat="1" ht="17.25" customHeight="1" x14ac:dyDescent="0.2">
      <c r="A125" s="727" t="s">
        <v>529</v>
      </c>
      <c r="B125" s="297" t="s">
        <v>413</v>
      </c>
      <c r="C125" s="298">
        <v>360</v>
      </c>
      <c r="D125" s="299">
        <v>5.7</v>
      </c>
      <c r="E125" s="299">
        <v>9.5</v>
      </c>
      <c r="F125" s="300">
        <v>176</v>
      </c>
      <c r="G125" s="301">
        <v>0.2</v>
      </c>
      <c r="H125" s="302">
        <v>131</v>
      </c>
      <c r="I125" s="303" t="str">
        <f t="shared" si="15"/>
        <v>+7</v>
      </c>
      <c r="J125" s="302"/>
      <c r="K125" s="302">
        <v>318</v>
      </c>
      <c r="L125" s="302">
        <v>379</v>
      </c>
      <c r="M125" s="302">
        <f t="shared" si="18"/>
        <v>298</v>
      </c>
      <c r="N125" s="302">
        <v>0</v>
      </c>
      <c r="O125" s="336">
        <v>0</v>
      </c>
      <c r="P125" s="302">
        <v>26</v>
      </c>
      <c r="Q125" s="302">
        <f t="shared" si="19"/>
        <v>26</v>
      </c>
      <c r="R125" s="302">
        <v>31</v>
      </c>
      <c r="S125" s="302">
        <v>252</v>
      </c>
      <c r="T125" s="302"/>
      <c r="U125" s="302">
        <v>116</v>
      </c>
      <c r="V125" s="299">
        <v>15.6</v>
      </c>
      <c r="W125" s="299">
        <v>3.6</v>
      </c>
      <c r="X125" s="299">
        <v>0.5</v>
      </c>
      <c r="Y125" s="299">
        <v>2.4</v>
      </c>
      <c r="Z125" s="304">
        <v>27</v>
      </c>
      <c r="AA125" s="293" t="s">
        <v>309</v>
      </c>
      <c r="AB125" s="310">
        <f t="shared" ref="AB125:AB135" si="20">14*Z125+3.5</f>
        <v>381.5</v>
      </c>
      <c r="AC125" s="294"/>
      <c r="AD125" s="295" t="str">
        <f>IF(COUNTA(B125:AA125)&lt;21,"x","")</f>
        <v/>
      </c>
    </row>
    <row r="126" spans="1:36" s="296" customFormat="1" ht="17.25" customHeight="1" x14ac:dyDescent="0.2">
      <c r="A126" s="727" t="s">
        <v>529</v>
      </c>
      <c r="B126" s="297" t="s">
        <v>414</v>
      </c>
      <c r="C126" s="298">
        <v>450</v>
      </c>
      <c r="D126" s="299">
        <v>5.0999999999999996</v>
      </c>
      <c r="E126" s="299">
        <v>8.8000000000000007</v>
      </c>
      <c r="F126" s="300">
        <v>160</v>
      </c>
      <c r="G126" s="301">
        <v>0.2</v>
      </c>
      <c r="H126" s="302">
        <v>122</v>
      </c>
      <c r="I126" s="303" t="str">
        <f t="shared" si="15"/>
        <v>+6</v>
      </c>
      <c r="J126" s="302"/>
      <c r="K126" s="302">
        <v>357</v>
      </c>
      <c r="L126" s="302">
        <v>427</v>
      </c>
      <c r="M126" s="302">
        <f t="shared" si="18"/>
        <v>273</v>
      </c>
      <c r="N126" s="302">
        <v>0</v>
      </c>
      <c r="O126" s="336">
        <v>0</v>
      </c>
      <c r="P126" s="302">
        <v>49</v>
      </c>
      <c r="Q126" s="302">
        <f t="shared" si="19"/>
        <v>49</v>
      </c>
      <c r="R126" s="302">
        <v>25</v>
      </c>
      <c r="S126" s="302">
        <v>275</v>
      </c>
      <c r="T126" s="302"/>
      <c r="U126" s="302">
        <v>115</v>
      </c>
      <c r="V126" s="299">
        <v>12.8</v>
      </c>
      <c r="W126" s="299">
        <v>3.4</v>
      </c>
      <c r="X126" s="299">
        <v>0.5</v>
      </c>
      <c r="Y126" s="299">
        <v>2.1</v>
      </c>
      <c r="Z126" s="304">
        <v>25</v>
      </c>
      <c r="AA126" s="293" t="s">
        <v>309</v>
      </c>
      <c r="AB126" s="310">
        <f t="shared" si="20"/>
        <v>353.5</v>
      </c>
      <c r="AC126" s="294"/>
      <c r="AD126" s="295" t="str">
        <f>IF(COUNTA(B126:AA126)&lt;21,"x","")</f>
        <v/>
      </c>
    </row>
    <row r="127" spans="1:36" s="296" customFormat="1" ht="17.25" customHeight="1" x14ac:dyDescent="0.2">
      <c r="A127" s="727" t="s">
        <v>529</v>
      </c>
      <c r="B127" s="297" t="s">
        <v>496</v>
      </c>
      <c r="C127" s="298">
        <f>(377*4+334)/5</f>
        <v>368.4</v>
      </c>
      <c r="D127" s="299">
        <f>(5.55*4+5.67)/5</f>
        <v>5.5739999999999998</v>
      </c>
      <c r="E127" s="299">
        <f>(9.41*4+9.57)/5</f>
        <v>9.4420000000000002</v>
      </c>
      <c r="F127" s="300">
        <f>(174*4+196)/5</f>
        <v>178.4</v>
      </c>
      <c r="G127" s="301">
        <v>0.2</v>
      </c>
      <c r="H127" s="302">
        <f>(129*4+128)/5</f>
        <v>128.80000000000001</v>
      </c>
      <c r="I127" s="303" t="str">
        <f t="shared" si="15"/>
        <v>+8</v>
      </c>
      <c r="J127" s="302"/>
      <c r="K127" s="302">
        <f>(313*4+309)/5</f>
        <v>312.2</v>
      </c>
      <c r="L127" s="302">
        <f>(395*4+348)/5</f>
        <v>385.6</v>
      </c>
      <c r="M127" s="302">
        <f t="shared" si="18"/>
        <v>283.20000000000005</v>
      </c>
      <c r="N127" s="302">
        <v>0</v>
      </c>
      <c r="O127" s="336">
        <v>0</v>
      </c>
      <c r="P127" s="302">
        <f>(32*4+17)/5</f>
        <v>29</v>
      </c>
      <c r="Q127" s="302">
        <f t="shared" si="19"/>
        <v>29</v>
      </c>
      <c r="R127" s="302">
        <f>(32*4+38)/5</f>
        <v>33.200000000000003</v>
      </c>
      <c r="S127" s="302">
        <f>(252*4+221)/5</f>
        <v>245.8</v>
      </c>
      <c r="T127" s="302"/>
      <c r="U127" s="302">
        <f>(121*4+114)/5</f>
        <v>119.6</v>
      </c>
      <c r="V127" s="299">
        <v>11</v>
      </c>
      <c r="W127" s="299">
        <v>3.7</v>
      </c>
      <c r="X127" s="299">
        <v>0.1</v>
      </c>
      <c r="Y127" s="299">
        <v>2.1</v>
      </c>
      <c r="Z127" s="304">
        <v>25</v>
      </c>
      <c r="AA127" s="293" t="s">
        <v>309</v>
      </c>
      <c r="AB127" s="310">
        <f t="shared" si="20"/>
        <v>353.5</v>
      </c>
      <c r="AC127" s="294"/>
      <c r="AD127" s="295"/>
    </row>
    <row r="128" spans="1:36" s="296" customFormat="1" ht="17.25" customHeight="1" x14ac:dyDescent="0.2">
      <c r="A128" s="727" t="s">
        <v>529</v>
      </c>
      <c r="B128" s="297" t="s">
        <v>497</v>
      </c>
      <c r="C128" s="310">
        <f>(382*4+436*3)/7</f>
        <v>405.14285714285717</v>
      </c>
      <c r="D128" s="299">
        <f>(5.22*4+5.27*3)/7</f>
        <v>5.2414285714285711</v>
      </c>
      <c r="E128" s="299">
        <f>(8.93*4+9*3)/7</f>
        <v>8.9599999999999991</v>
      </c>
      <c r="F128" s="300">
        <f>(176*4+204*3)/7</f>
        <v>188</v>
      </c>
      <c r="G128" s="301">
        <v>0.2</v>
      </c>
      <c r="H128" s="302">
        <f>(126*4+127*3)/7</f>
        <v>126.42857142857143</v>
      </c>
      <c r="I128" s="303" t="str">
        <f t="shared" si="15"/>
        <v>+10</v>
      </c>
      <c r="J128" s="302"/>
      <c r="K128" s="302">
        <f>(342*4+350*3)/7</f>
        <v>345.42857142857144</v>
      </c>
      <c r="L128" s="302">
        <f>(398*4+439*3)/7</f>
        <v>415.57142857142856</v>
      </c>
      <c r="M128" s="302">
        <f t="shared" si="18"/>
        <v>257.57142857142856</v>
      </c>
      <c r="N128" s="302">
        <v>0</v>
      </c>
      <c r="O128" s="336">
        <v>0</v>
      </c>
      <c r="P128" s="302">
        <f>(27*4+45*3)/7</f>
        <v>34.714285714285715</v>
      </c>
      <c r="Q128" s="302">
        <f t="shared" si="19"/>
        <v>34.714285714285715</v>
      </c>
      <c r="R128" s="302">
        <f>(32*4+22*3)/7</f>
        <v>27.714285714285715</v>
      </c>
      <c r="S128" s="302">
        <f>(267*4+298*3)/7</f>
        <v>280.28571428571428</v>
      </c>
      <c r="T128" s="302"/>
      <c r="U128" s="302">
        <f>(121*4+98*3)/7</f>
        <v>111.14285714285714</v>
      </c>
      <c r="V128" s="299">
        <v>14.4</v>
      </c>
      <c r="W128" s="299">
        <v>2.9</v>
      </c>
      <c r="X128" s="299">
        <v>0.3</v>
      </c>
      <c r="Y128" s="299">
        <v>2.2999999999999998</v>
      </c>
      <c r="Z128" s="304">
        <v>25</v>
      </c>
      <c r="AA128" s="293" t="s">
        <v>309</v>
      </c>
      <c r="AB128" s="310">
        <f t="shared" si="20"/>
        <v>353.5</v>
      </c>
      <c r="AC128" s="294"/>
      <c r="AD128" s="295"/>
    </row>
    <row r="129" spans="1:36" s="296" customFormat="1" ht="17.25" customHeight="1" x14ac:dyDescent="0.2">
      <c r="A129" s="727" t="s">
        <v>529</v>
      </c>
      <c r="B129" s="297" t="s">
        <v>498</v>
      </c>
      <c r="C129" s="298">
        <f>(406*3+312*3)/6</f>
        <v>359</v>
      </c>
      <c r="D129" s="299">
        <f>(4.87*3+5.1*3)/6</f>
        <v>4.9849999999999994</v>
      </c>
      <c r="E129" s="299">
        <f>(8.37*3+8.8*3)/6</f>
        <v>8.5850000000000009</v>
      </c>
      <c r="F129" s="300">
        <f>(166*3+191*3)/6</f>
        <v>178.5</v>
      </c>
      <c r="G129" s="301">
        <v>0.2</v>
      </c>
      <c r="H129" s="302">
        <f>(118*3+123*3)/6</f>
        <v>120.5</v>
      </c>
      <c r="I129" s="303" t="str">
        <f t="shared" si="15"/>
        <v>+9</v>
      </c>
      <c r="J129" s="302"/>
      <c r="K129" s="302">
        <f>(371*3+334*3)/6</f>
        <v>352.5</v>
      </c>
      <c r="L129" s="302">
        <f>(474*3+416*3)/6</f>
        <v>445</v>
      </c>
      <c r="M129" s="302">
        <f t="shared" si="18"/>
        <v>241.5</v>
      </c>
      <c r="N129" s="302">
        <v>0</v>
      </c>
      <c r="O129" s="336">
        <v>0</v>
      </c>
      <c r="P129" s="302">
        <f>(22*3+0*3)/6</f>
        <v>11</v>
      </c>
      <c r="Q129" s="302">
        <f t="shared" si="19"/>
        <v>11</v>
      </c>
      <c r="R129" s="302">
        <f>(21*3+27*3)/6</f>
        <v>24</v>
      </c>
      <c r="S129" s="302">
        <f>(311*3+285*3)/6</f>
        <v>298</v>
      </c>
      <c r="T129" s="302"/>
      <c r="U129" s="302">
        <f>(110*3+112*3)/6</f>
        <v>111</v>
      </c>
      <c r="V129" s="299">
        <v>17</v>
      </c>
      <c r="W129" s="299">
        <v>3.5</v>
      </c>
      <c r="X129" s="299">
        <v>0.2</v>
      </c>
      <c r="Y129" s="299">
        <v>2.6</v>
      </c>
      <c r="Z129" s="304">
        <v>28</v>
      </c>
      <c r="AA129" s="293" t="s">
        <v>309</v>
      </c>
      <c r="AB129" s="310">
        <f t="shared" si="20"/>
        <v>395.5</v>
      </c>
      <c r="AC129" s="294"/>
      <c r="AD129" s="295" t="str">
        <f>IF(COUNTA(B129:AA129)&lt;21,"x","")</f>
        <v/>
      </c>
    </row>
    <row r="130" spans="1:36" s="296" customFormat="1" ht="17.25" customHeight="1" x14ac:dyDescent="0.2">
      <c r="A130" s="727" t="s">
        <v>529</v>
      </c>
      <c r="B130" s="297" t="s">
        <v>415</v>
      </c>
      <c r="C130" s="298">
        <v>360</v>
      </c>
      <c r="D130" s="299">
        <v>6.21</v>
      </c>
      <c r="E130" s="299">
        <v>10.3</v>
      </c>
      <c r="F130" s="300">
        <v>176</v>
      </c>
      <c r="G130" s="301">
        <v>0.2</v>
      </c>
      <c r="H130" s="302">
        <v>141</v>
      </c>
      <c r="I130" s="303" t="str">
        <f t="shared" si="15"/>
        <v>+6</v>
      </c>
      <c r="J130" s="302"/>
      <c r="K130" s="302">
        <v>296</v>
      </c>
      <c r="L130" s="302">
        <v>370</v>
      </c>
      <c r="M130" s="302">
        <f t="shared" si="18"/>
        <v>302</v>
      </c>
      <c r="N130" s="302">
        <v>0</v>
      </c>
      <c r="O130" s="336">
        <v>0</v>
      </c>
      <c r="P130" s="302">
        <v>50</v>
      </c>
      <c r="Q130" s="302">
        <f t="shared" si="19"/>
        <v>50</v>
      </c>
      <c r="R130" s="302">
        <v>37</v>
      </c>
      <c r="S130" s="302">
        <v>213</v>
      </c>
      <c r="T130" s="302"/>
      <c r="U130" s="302">
        <v>115</v>
      </c>
      <c r="V130" s="299">
        <v>15.1</v>
      </c>
      <c r="W130" s="299">
        <v>3.7</v>
      </c>
      <c r="X130" s="299">
        <v>0.3</v>
      </c>
      <c r="Y130" s="299">
        <v>2.1</v>
      </c>
      <c r="Z130" s="304">
        <v>30</v>
      </c>
      <c r="AA130" s="293" t="s">
        <v>309</v>
      </c>
      <c r="AB130" s="310">
        <f t="shared" si="20"/>
        <v>423.5</v>
      </c>
      <c r="AC130" s="294"/>
      <c r="AD130" s="295"/>
    </row>
    <row r="131" spans="1:36" s="296" customFormat="1" ht="17.25" customHeight="1" x14ac:dyDescent="0.2">
      <c r="A131" s="727" t="s">
        <v>529</v>
      </c>
      <c r="B131" s="297" t="s">
        <v>417</v>
      </c>
      <c r="C131" s="298">
        <v>360</v>
      </c>
      <c r="D131" s="299">
        <v>5.9</v>
      </c>
      <c r="E131" s="299">
        <v>9.9</v>
      </c>
      <c r="F131" s="300">
        <v>169</v>
      </c>
      <c r="G131" s="301">
        <v>0.2</v>
      </c>
      <c r="H131" s="302">
        <v>137</v>
      </c>
      <c r="I131" s="303" t="str">
        <f t="shared" si="15"/>
        <v>+5</v>
      </c>
      <c r="J131" s="302"/>
      <c r="K131" s="302">
        <v>307</v>
      </c>
      <c r="L131" s="302">
        <v>405</v>
      </c>
      <c r="M131" s="302">
        <f t="shared" si="18"/>
        <v>285</v>
      </c>
      <c r="N131" s="302">
        <v>0</v>
      </c>
      <c r="O131" s="336">
        <v>0</v>
      </c>
      <c r="P131" s="302">
        <v>40</v>
      </c>
      <c r="Q131" s="302">
        <f t="shared" si="19"/>
        <v>40</v>
      </c>
      <c r="R131" s="302">
        <v>32</v>
      </c>
      <c r="S131" s="302">
        <v>251</v>
      </c>
      <c r="T131" s="302"/>
      <c r="U131" s="302">
        <v>109</v>
      </c>
      <c r="V131" s="299">
        <v>15.7</v>
      </c>
      <c r="W131" s="299">
        <v>3.1</v>
      </c>
      <c r="X131" s="299">
        <v>0.8</v>
      </c>
      <c r="Y131" s="299">
        <v>2.5</v>
      </c>
      <c r="Z131" s="304">
        <v>26</v>
      </c>
      <c r="AA131" s="293" t="s">
        <v>309</v>
      </c>
      <c r="AB131" s="310">
        <f t="shared" si="20"/>
        <v>367.5</v>
      </c>
      <c r="AC131" s="294"/>
      <c r="AD131" s="295"/>
    </row>
    <row r="132" spans="1:36" s="296" customFormat="1" ht="17.25" customHeight="1" x14ac:dyDescent="0.2">
      <c r="A132" s="727" t="s">
        <v>529</v>
      </c>
      <c r="B132" s="297" t="s">
        <v>418</v>
      </c>
      <c r="C132" s="298">
        <v>310</v>
      </c>
      <c r="D132" s="299">
        <v>5.5</v>
      </c>
      <c r="E132" s="299">
        <v>9.31</v>
      </c>
      <c r="F132" s="300">
        <v>178</v>
      </c>
      <c r="G132" s="301">
        <v>0.2</v>
      </c>
      <c r="H132" s="302">
        <v>133</v>
      </c>
      <c r="I132" s="303" t="str">
        <f t="shared" si="15"/>
        <v>+7</v>
      </c>
      <c r="J132" s="302"/>
      <c r="K132" s="302">
        <v>305</v>
      </c>
      <c r="L132" s="302">
        <v>378</v>
      </c>
      <c r="M132" s="302">
        <f t="shared" si="18"/>
        <v>284</v>
      </c>
      <c r="N132" s="302">
        <v>0</v>
      </c>
      <c r="O132" s="336">
        <v>0</v>
      </c>
      <c r="P132" s="302">
        <v>20</v>
      </c>
      <c r="Q132" s="302">
        <f t="shared" si="19"/>
        <v>20</v>
      </c>
      <c r="R132" s="302">
        <v>35</v>
      </c>
      <c r="S132" s="302">
        <v>248</v>
      </c>
      <c r="T132" s="302"/>
      <c r="U132" s="302">
        <v>125</v>
      </c>
      <c r="V132" s="299">
        <v>14.6</v>
      </c>
      <c r="W132" s="299">
        <v>3.9</v>
      </c>
      <c r="X132" s="299">
        <v>0.2</v>
      </c>
      <c r="Y132" s="299">
        <v>1.8</v>
      </c>
      <c r="Z132" s="304">
        <v>31</v>
      </c>
      <c r="AA132" s="293" t="s">
        <v>309</v>
      </c>
      <c r="AB132" s="310">
        <f t="shared" si="20"/>
        <v>437.5</v>
      </c>
      <c r="AC132" s="294"/>
      <c r="AD132" s="295"/>
    </row>
    <row r="133" spans="1:36" s="296" customFormat="1" ht="17.25" customHeight="1" x14ac:dyDescent="0.2">
      <c r="A133" s="727" t="s">
        <v>529</v>
      </c>
      <c r="B133" s="297" t="s">
        <v>416</v>
      </c>
      <c r="C133" s="298">
        <v>450</v>
      </c>
      <c r="D133" s="299">
        <v>5.86</v>
      </c>
      <c r="E133" s="299">
        <v>9.9</v>
      </c>
      <c r="F133" s="300">
        <v>141</v>
      </c>
      <c r="G133" s="301">
        <v>0.2</v>
      </c>
      <c r="H133" s="302">
        <v>131</v>
      </c>
      <c r="I133" s="303" t="str">
        <f t="shared" si="15"/>
        <v>+2</v>
      </c>
      <c r="J133" s="302"/>
      <c r="K133" s="302">
        <v>298</v>
      </c>
      <c r="L133" s="302">
        <v>451</v>
      </c>
      <c r="M133" s="302">
        <f t="shared" si="18"/>
        <v>274</v>
      </c>
      <c r="N133" s="302">
        <v>0</v>
      </c>
      <c r="O133" s="336">
        <v>0</v>
      </c>
      <c r="P133" s="302">
        <v>60</v>
      </c>
      <c r="Q133" s="302">
        <f t="shared" si="19"/>
        <v>60</v>
      </c>
      <c r="R133" s="302">
        <v>31</v>
      </c>
      <c r="S133" s="302">
        <v>246</v>
      </c>
      <c r="T133" s="302"/>
      <c r="U133" s="302">
        <v>103</v>
      </c>
      <c r="V133" s="299">
        <v>10.199999999999999</v>
      </c>
      <c r="W133" s="299">
        <v>3</v>
      </c>
      <c r="X133" s="299">
        <v>0.7</v>
      </c>
      <c r="Y133" s="299">
        <v>3.1</v>
      </c>
      <c r="Z133" s="304">
        <v>22</v>
      </c>
      <c r="AA133" s="293" t="s">
        <v>309</v>
      </c>
      <c r="AB133" s="310">
        <f t="shared" si="20"/>
        <v>311.5</v>
      </c>
      <c r="AC133" s="294"/>
      <c r="AD133" s="295"/>
    </row>
    <row r="134" spans="1:36" s="296" customFormat="1" ht="17.25" customHeight="1" x14ac:dyDescent="0.2">
      <c r="A134" s="727" t="s">
        <v>529</v>
      </c>
      <c r="B134" s="297" t="s">
        <v>419</v>
      </c>
      <c r="C134" s="310">
        <f>(350*7+313*2)/9</f>
        <v>341.77777777777777</v>
      </c>
      <c r="D134" s="299">
        <f>(5.66*7+5.65313*2)/9</f>
        <v>5.6584733333333341</v>
      </c>
      <c r="E134" s="299">
        <f>(9.59*7+9.5*2)/9</f>
        <v>9.57</v>
      </c>
      <c r="F134" s="300">
        <f>(171*7+164*2)/9</f>
        <v>169.44444444444446</v>
      </c>
      <c r="G134" s="301">
        <v>0.2</v>
      </c>
      <c r="H134" s="302">
        <f>(136*7+132*2)/9</f>
        <v>135.11111111111111</v>
      </c>
      <c r="I134" s="303" t="str">
        <f t="shared" si="15"/>
        <v>+5</v>
      </c>
      <c r="J134" s="302"/>
      <c r="K134" s="302">
        <f>(316*7+322*2)/9</f>
        <v>317.33333333333331</v>
      </c>
      <c r="L134" s="302">
        <f>(377*7+464*2)/9</f>
        <v>396.33333333333331</v>
      </c>
      <c r="M134" s="302">
        <f t="shared" si="18"/>
        <v>287.55555555555554</v>
      </c>
      <c r="N134" s="302">
        <v>0</v>
      </c>
      <c r="O134" s="336">
        <v>0</v>
      </c>
      <c r="P134" s="302">
        <v>40</v>
      </c>
      <c r="Q134" s="302">
        <f t="shared" si="19"/>
        <v>40</v>
      </c>
      <c r="R134" s="302">
        <f>(32*7+37*2)/9</f>
        <v>33.111111111111114</v>
      </c>
      <c r="S134" s="302">
        <f>(253*7+266*2)/9</f>
        <v>255.88888888888889</v>
      </c>
      <c r="T134" s="302"/>
      <c r="U134" s="302">
        <f>(116*7+105*2)/9</f>
        <v>113.55555555555556</v>
      </c>
      <c r="V134" s="299">
        <f>(V133+V135)/2</f>
        <v>13.475</v>
      </c>
      <c r="W134" s="299">
        <f>(W133+W135)/2</f>
        <v>3.2749999999999999</v>
      </c>
      <c r="X134" s="299">
        <f>(X133+X135)/2</f>
        <v>0.57499999999999996</v>
      </c>
      <c r="Y134" s="299">
        <f>(Y133+Y135)/2</f>
        <v>2.9749999999999996</v>
      </c>
      <c r="Z134" s="304">
        <f>(Z133+Z135)/2</f>
        <v>22.625</v>
      </c>
      <c r="AA134" s="293" t="s">
        <v>309</v>
      </c>
      <c r="AB134" s="310">
        <f t="shared" si="20"/>
        <v>320.25</v>
      </c>
      <c r="AC134" s="294"/>
      <c r="AD134" s="295"/>
    </row>
    <row r="135" spans="1:36" s="296" customFormat="1" ht="17.25" customHeight="1" x14ac:dyDescent="0.2">
      <c r="A135" s="727" t="s">
        <v>529</v>
      </c>
      <c r="B135" s="297" t="s">
        <v>420</v>
      </c>
      <c r="C135" s="298">
        <f>(374*2+399*2)/4</f>
        <v>386.5</v>
      </c>
      <c r="D135" s="299">
        <f>(5.19*2+5.25399*2)/4</f>
        <v>5.2219949999999997</v>
      </c>
      <c r="E135" s="299">
        <f>(8.92*2+9*2)/4</f>
        <v>8.9600000000000009</v>
      </c>
      <c r="F135" s="300">
        <f>(161*2+176*2)/4</f>
        <v>168.5</v>
      </c>
      <c r="G135" s="301">
        <v>0.2</v>
      </c>
      <c r="H135" s="302">
        <f>(121*2+127*2)/4</f>
        <v>124</v>
      </c>
      <c r="I135" s="303" t="str">
        <f t="shared" si="15"/>
        <v>+7</v>
      </c>
      <c r="J135" s="302"/>
      <c r="K135" s="302">
        <f>(335*2+336*2)/4</f>
        <v>335.5</v>
      </c>
      <c r="L135" s="302">
        <f>(397*2+431*2)/4</f>
        <v>414</v>
      </c>
      <c r="M135" s="302">
        <f t="shared" si="18"/>
        <v>283</v>
      </c>
      <c r="N135" s="302">
        <v>0</v>
      </c>
      <c r="O135" s="336">
        <v>0</v>
      </c>
      <c r="P135" s="302">
        <v>20</v>
      </c>
      <c r="Q135" s="302">
        <f t="shared" si="19"/>
        <v>20</v>
      </c>
      <c r="R135" s="302">
        <f>(31*2+27*2)/4</f>
        <v>29</v>
      </c>
      <c r="S135" s="302">
        <f>(260*2+280*2)/4</f>
        <v>270</v>
      </c>
      <c r="T135" s="302"/>
      <c r="U135" s="302">
        <f>(117*2+94*2)/4</f>
        <v>105.5</v>
      </c>
      <c r="V135" s="299">
        <f>(18.4*2+15.1*2)/4</f>
        <v>16.75</v>
      </c>
      <c r="W135" s="299">
        <f>(3.7*2+3.4*2)/4</f>
        <v>3.55</v>
      </c>
      <c r="X135" s="299">
        <f>(0.7*2+0.2*2)/4</f>
        <v>0.44999999999999996</v>
      </c>
      <c r="Y135" s="299">
        <f>(2.8*2+2.9*2)/4</f>
        <v>2.8499999999999996</v>
      </c>
      <c r="Z135" s="304">
        <f>(22.4*2+24.1*2)/4</f>
        <v>23.25</v>
      </c>
      <c r="AA135" s="293" t="s">
        <v>309</v>
      </c>
      <c r="AB135" s="310">
        <f t="shared" si="20"/>
        <v>329</v>
      </c>
      <c r="AC135" s="294"/>
      <c r="AD135" s="295"/>
    </row>
    <row r="136" spans="1:36" s="296" customFormat="1" ht="17.25" customHeight="1" x14ac:dyDescent="0.2">
      <c r="A136" s="727"/>
      <c r="B136" s="297" t="s">
        <v>106</v>
      </c>
      <c r="C136" s="298">
        <v>440</v>
      </c>
      <c r="D136" s="299">
        <v>8.1</v>
      </c>
      <c r="E136" s="299">
        <v>12.8</v>
      </c>
      <c r="F136" s="300">
        <v>170</v>
      </c>
      <c r="G136" s="301">
        <v>0.3</v>
      </c>
      <c r="H136" s="302">
        <f>ROUND((11.93-(6.82*G136))*E136+1.03*G136*F136,0)</f>
        <v>179</v>
      </c>
      <c r="I136" s="303">
        <f t="shared" si="15"/>
        <v>-1</v>
      </c>
      <c r="J136" s="302"/>
      <c r="K136" s="302">
        <v>110</v>
      </c>
      <c r="L136" s="302">
        <v>240</v>
      </c>
      <c r="M136" s="302">
        <f t="shared" si="18"/>
        <v>505</v>
      </c>
      <c r="N136" s="302">
        <v>340</v>
      </c>
      <c r="O136" s="336">
        <v>0.1</v>
      </c>
      <c r="P136" s="302">
        <v>0</v>
      </c>
      <c r="Q136" s="302">
        <f t="shared" si="19"/>
        <v>339.66</v>
      </c>
      <c r="R136" s="302">
        <v>30</v>
      </c>
      <c r="S136" s="302">
        <v>85</v>
      </c>
      <c r="T136" s="302"/>
      <c r="U136" s="302">
        <v>55</v>
      </c>
      <c r="V136" s="299">
        <v>1.5</v>
      </c>
      <c r="W136" s="299">
        <v>9.5</v>
      </c>
      <c r="X136" s="299">
        <v>2.8</v>
      </c>
      <c r="Y136" s="299">
        <v>4.8</v>
      </c>
      <c r="Z136" s="304">
        <v>14</v>
      </c>
      <c r="AA136" s="293" t="s">
        <v>309</v>
      </c>
      <c r="AB136" s="310">
        <v>215</v>
      </c>
      <c r="AC136" s="294"/>
      <c r="AD136" s="295" t="str">
        <f t="shared" ref="AD136:AD142" si="21">IF(COUNTA(B136:AA136)&lt;21,"x","")</f>
        <v/>
      </c>
      <c r="AE136" s="296">
        <f>+S136</f>
        <v>85</v>
      </c>
      <c r="AF136" s="296">
        <f>IF(N136=0,0.0001,N136)</f>
        <v>340</v>
      </c>
      <c r="AG136" s="296">
        <v>0.15</v>
      </c>
      <c r="AH136" s="296">
        <f>+AF136*AG136</f>
        <v>51</v>
      </c>
      <c r="AI136" s="296">
        <f>+P136</f>
        <v>0</v>
      </c>
      <c r="AJ136" s="296">
        <f>0.9-1.3*AG136</f>
        <v>0.70500000000000007</v>
      </c>
    </row>
    <row r="137" spans="1:36" s="296" customFormat="1" ht="17.25" customHeight="1" x14ac:dyDescent="0.2">
      <c r="A137" s="727" t="s">
        <v>529</v>
      </c>
      <c r="B137" s="297" t="s">
        <v>152</v>
      </c>
      <c r="C137" s="298">
        <v>348</v>
      </c>
      <c r="D137" s="299">
        <v>7</v>
      </c>
      <c r="E137" s="299">
        <v>11.47</v>
      </c>
      <c r="F137" s="300">
        <v>75</v>
      </c>
      <c r="G137" s="301">
        <v>0.25</v>
      </c>
      <c r="H137" s="302">
        <f>ROUND((11.93-(6.82*G137))*E137+1.03*G137*F137,0)</f>
        <v>137</v>
      </c>
      <c r="I137" s="303">
        <f t="shared" ref="I137:I162" si="22">IF((F137-H137)/6.25&lt;0,ROUND((F137-H137)/6.25,0),"+"&amp;ROUND(((F137-H137)/6.25),0))</f>
        <v>-10</v>
      </c>
      <c r="J137" s="302"/>
      <c r="K137" s="302">
        <v>198</v>
      </c>
      <c r="L137" s="302">
        <v>345</v>
      </c>
      <c r="M137" s="302">
        <f t="shared" si="18"/>
        <v>509</v>
      </c>
      <c r="N137" s="302">
        <v>345</v>
      </c>
      <c r="O137" s="336">
        <v>0.15</v>
      </c>
      <c r="P137" s="302">
        <v>10</v>
      </c>
      <c r="Q137" s="302">
        <f t="shared" si="19"/>
        <v>354.48250000000002</v>
      </c>
      <c r="R137" s="302">
        <v>35</v>
      </c>
      <c r="S137" s="302">
        <v>164</v>
      </c>
      <c r="T137" s="302"/>
      <c r="U137" s="302">
        <v>36</v>
      </c>
      <c r="V137" s="299">
        <v>2</v>
      </c>
      <c r="W137" s="299">
        <v>2.4</v>
      </c>
      <c r="X137" s="299">
        <v>0.1</v>
      </c>
      <c r="Y137" s="299">
        <v>1.2</v>
      </c>
      <c r="Z137" s="304">
        <v>11</v>
      </c>
      <c r="AA137" s="293" t="s">
        <v>309</v>
      </c>
      <c r="AB137" s="310">
        <v>130</v>
      </c>
      <c r="AC137" s="294"/>
      <c r="AD137" s="295" t="str">
        <f t="shared" si="21"/>
        <v/>
      </c>
      <c r="AE137" s="296">
        <f>+S137</f>
        <v>164</v>
      </c>
      <c r="AF137" s="296">
        <f>IF(N137=0,0.0001,N137)</f>
        <v>345</v>
      </c>
      <c r="AG137" s="296">
        <v>0.15</v>
      </c>
      <c r="AH137" s="296">
        <f>+AF137*AG137</f>
        <v>51.75</v>
      </c>
      <c r="AI137" s="296">
        <f>+P137</f>
        <v>10</v>
      </c>
      <c r="AJ137" s="296">
        <f>0.9-1.3*AG137</f>
        <v>0.70500000000000007</v>
      </c>
    </row>
    <row r="138" spans="1:36" s="296" customFormat="1" ht="17.25" customHeight="1" x14ac:dyDescent="0.2">
      <c r="A138" s="727" t="s">
        <v>529</v>
      </c>
      <c r="B138" s="297" t="s">
        <v>130</v>
      </c>
      <c r="C138" s="298">
        <v>341</v>
      </c>
      <c r="D138" s="299">
        <v>6.73</v>
      </c>
      <c r="E138" s="299">
        <v>11.12</v>
      </c>
      <c r="F138" s="300">
        <v>75</v>
      </c>
      <c r="G138" s="301">
        <v>0.25</v>
      </c>
      <c r="H138" s="302">
        <v>135</v>
      </c>
      <c r="I138" s="303">
        <f t="shared" si="22"/>
        <v>-10</v>
      </c>
      <c r="J138" s="302"/>
      <c r="K138" s="302">
        <v>212</v>
      </c>
      <c r="L138" s="302">
        <v>372</v>
      </c>
      <c r="M138" s="302">
        <f t="shared" si="18"/>
        <v>485</v>
      </c>
      <c r="N138" s="302">
        <v>309</v>
      </c>
      <c r="O138" s="336">
        <v>0.15</v>
      </c>
      <c r="P138" s="302">
        <v>10</v>
      </c>
      <c r="Q138" s="302">
        <f t="shared" si="19"/>
        <v>318.53649999999999</v>
      </c>
      <c r="R138" s="302">
        <v>32</v>
      </c>
      <c r="S138" s="302">
        <v>179</v>
      </c>
      <c r="T138" s="302"/>
      <c r="U138" s="302">
        <v>36</v>
      </c>
      <c r="V138" s="299">
        <v>2.1</v>
      </c>
      <c r="W138" s="299">
        <v>2.2000000000000002</v>
      </c>
      <c r="X138" s="299">
        <v>0.1</v>
      </c>
      <c r="Y138" s="299">
        <v>1.2</v>
      </c>
      <c r="Z138" s="304">
        <v>10</v>
      </c>
      <c r="AA138" s="293" t="s">
        <v>309</v>
      </c>
      <c r="AB138" s="310">
        <v>130</v>
      </c>
      <c r="AC138" s="294"/>
      <c r="AD138" s="295" t="str">
        <f t="shared" si="21"/>
        <v/>
      </c>
      <c r="AE138" s="296">
        <f>+S138</f>
        <v>179</v>
      </c>
      <c r="AF138" s="296">
        <f>IF(N138=0,0.0001,N138)</f>
        <v>309</v>
      </c>
      <c r="AG138" s="296">
        <v>0.15</v>
      </c>
      <c r="AH138" s="296">
        <f>+AF138*AG138</f>
        <v>46.35</v>
      </c>
      <c r="AI138" s="296">
        <f>+P138</f>
        <v>10</v>
      </c>
      <c r="AJ138" s="296">
        <f>0.9-1.3*AG138</f>
        <v>0.70500000000000007</v>
      </c>
    </row>
    <row r="139" spans="1:36" s="296" customFormat="1" ht="17.25" customHeight="1" x14ac:dyDescent="0.2">
      <c r="A139" s="727" t="s">
        <v>529</v>
      </c>
      <c r="B139" s="297" t="s">
        <v>131</v>
      </c>
      <c r="C139" s="298">
        <v>325</v>
      </c>
      <c r="D139" s="299">
        <v>6.47</v>
      </c>
      <c r="E139" s="299">
        <v>10.77</v>
      </c>
      <c r="F139" s="300">
        <v>76</v>
      </c>
      <c r="G139" s="301">
        <v>0.25</v>
      </c>
      <c r="H139" s="302">
        <v>130</v>
      </c>
      <c r="I139" s="303">
        <f t="shared" si="22"/>
        <v>-9</v>
      </c>
      <c r="J139" s="302"/>
      <c r="K139" s="302">
        <v>233</v>
      </c>
      <c r="L139" s="302">
        <v>405</v>
      </c>
      <c r="M139" s="302">
        <f t="shared" si="18"/>
        <v>453</v>
      </c>
      <c r="N139" s="302">
        <v>213</v>
      </c>
      <c r="O139" s="336">
        <v>0.15</v>
      </c>
      <c r="P139" s="302">
        <v>10</v>
      </c>
      <c r="Q139" s="302">
        <f t="shared" si="19"/>
        <v>222.68049999999999</v>
      </c>
      <c r="R139" s="302">
        <v>29</v>
      </c>
      <c r="S139" s="302">
        <v>200</v>
      </c>
      <c r="T139" s="302"/>
      <c r="U139" s="302">
        <v>37</v>
      </c>
      <c r="V139" s="299">
        <v>2.4</v>
      </c>
      <c r="W139" s="299">
        <v>2.2000000000000002</v>
      </c>
      <c r="X139" s="299">
        <v>0.1</v>
      </c>
      <c r="Y139" s="299">
        <v>1.2</v>
      </c>
      <c r="Z139" s="304">
        <v>11</v>
      </c>
      <c r="AA139" s="293" t="s">
        <v>309</v>
      </c>
      <c r="AB139" s="310">
        <v>130</v>
      </c>
      <c r="AC139" s="294"/>
      <c r="AD139" s="295" t="str">
        <f t="shared" si="21"/>
        <v/>
      </c>
      <c r="AE139" s="296">
        <f>+S139</f>
        <v>200</v>
      </c>
      <c r="AF139" s="296">
        <f>IF(N139=0,0.0001,N139)</f>
        <v>213</v>
      </c>
      <c r="AG139" s="296">
        <v>0.15</v>
      </c>
      <c r="AH139" s="296">
        <f>+AF139*AG139</f>
        <v>31.95</v>
      </c>
      <c r="AI139" s="296">
        <f>+P139</f>
        <v>10</v>
      </c>
      <c r="AJ139" s="296">
        <f>0.9-1.3*AG139</f>
        <v>0.70500000000000007</v>
      </c>
    </row>
    <row r="140" spans="1:36" s="296" customFormat="1" ht="17.25" customHeight="1" x14ac:dyDescent="0.2">
      <c r="A140" s="727"/>
      <c r="B140" s="297" t="s">
        <v>185</v>
      </c>
      <c r="C140" s="298">
        <v>320</v>
      </c>
      <c r="D140" s="299">
        <v>7.2</v>
      </c>
      <c r="E140" s="299">
        <f>D140/0.62</f>
        <v>11.612903225806452</v>
      </c>
      <c r="F140" s="300">
        <v>85</v>
      </c>
      <c r="G140" s="301">
        <v>0.3</v>
      </c>
      <c r="H140" s="302">
        <f>ROUND((11.93-(6.82*G140))*E140+1.03*G140*F140,0)</f>
        <v>141</v>
      </c>
      <c r="I140" s="303">
        <f t="shared" si="22"/>
        <v>-9</v>
      </c>
      <c r="J140" s="302"/>
      <c r="K140" s="302">
        <v>217</v>
      </c>
      <c r="L140" s="302">
        <v>483</v>
      </c>
      <c r="M140" s="302">
        <v>349</v>
      </c>
      <c r="N140" s="302">
        <v>0</v>
      </c>
      <c r="O140" s="336">
        <v>0</v>
      </c>
      <c r="P140" s="302">
        <v>30</v>
      </c>
      <c r="Q140" s="302">
        <f t="shared" si="19"/>
        <v>30</v>
      </c>
      <c r="R140" s="302">
        <v>6</v>
      </c>
      <c r="S140" s="302">
        <v>233</v>
      </c>
      <c r="T140" s="302"/>
      <c r="U140" s="302">
        <v>77</v>
      </c>
      <c r="V140" s="299">
        <v>9.9</v>
      </c>
      <c r="W140" s="299">
        <v>1.3</v>
      </c>
      <c r="X140" s="299">
        <v>0.3</v>
      </c>
      <c r="Y140" s="299">
        <v>2.1</v>
      </c>
      <c r="Z140" s="304">
        <v>4</v>
      </c>
      <c r="AA140" s="293" t="s">
        <v>309</v>
      </c>
      <c r="AB140" s="310">
        <v>-60</v>
      </c>
      <c r="AC140" s="294"/>
      <c r="AD140" s="295" t="str">
        <f t="shared" si="21"/>
        <v/>
      </c>
      <c r="AE140" s="296">
        <f>+S140</f>
        <v>233</v>
      </c>
      <c r="AF140" s="296">
        <f>IF(N140=0,0.0001,N140)</f>
        <v>1E-4</v>
      </c>
      <c r="AG140" s="296">
        <v>0.1</v>
      </c>
      <c r="AH140" s="296">
        <f>+AF140*AG140</f>
        <v>1.0000000000000001E-5</v>
      </c>
      <c r="AI140" s="296">
        <f>+P140</f>
        <v>30</v>
      </c>
      <c r="AJ140" s="296">
        <f>0.9-1.3*AG140</f>
        <v>0.77</v>
      </c>
    </row>
    <row r="141" spans="1:36" s="296" customFormat="1" ht="17.25" customHeight="1" x14ac:dyDescent="0.2">
      <c r="A141" s="727" t="s">
        <v>529</v>
      </c>
      <c r="B141" s="297" t="s">
        <v>161</v>
      </c>
      <c r="C141" s="298">
        <v>150</v>
      </c>
      <c r="D141" s="299">
        <v>6.69</v>
      </c>
      <c r="E141" s="299">
        <v>10.83</v>
      </c>
      <c r="F141" s="300">
        <v>195</v>
      </c>
      <c r="G141" s="301">
        <v>0.15</v>
      </c>
      <c r="H141" s="302">
        <f>ROUND((11.93-(6.82*G141))*E141+1.03*G141*F141,0)</f>
        <v>148</v>
      </c>
      <c r="I141" s="303" t="str">
        <f t="shared" si="22"/>
        <v>+8</v>
      </c>
      <c r="J141" s="302"/>
      <c r="K141" s="302">
        <f>S141*1.2</f>
        <v>170.4</v>
      </c>
      <c r="L141" s="302">
        <v>257</v>
      </c>
      <c r="M141" s="302">
        <f t="shared" ref="M141:M162" si="23">IF(AND(U141&lt;&gt;"",F141&lt;&gt;"",L141&lt;&gt;"",R141&lt;&gt;""),1000-F141-L141-R141-U141,"Fehler")</f>
        <v>328</v>
      </c>
      <c r="N141" s="302">
        <v>0</v>
      </c>
      <c r="O141" s="336">
        <v>0</v>
      </c>
      <c r="P141" s="302">
        <v>5</v>
      </c>
      <c r="Q141" s="302">
        <f t="shared" si="19"/>
        <v>5</v>
      </c>
      <c r="R141" s="302">
        <v>50</v>
      </c>
      <c r="S141" s="302">
        <v>142</v>
      </c>
      <c r="T141" s="302"/>
      <c r="U141" s="302">
        <v>170</v>
      </c>
      <c r="V141" s="299">
        <v>17</v>
      </c>
      <c r="W141" s="299">
        <v>4.5</v>
      </c>
      <c r="X141" s="299">
        <v>1.3</v>
      </c>
      <c r="Y141" s="299">
        <v>2.6</v>
      </c>
      <c r="Z141" s="304">
        <v>32</v>
      </c>
      <c r="AA141" s="293" t="s">
        <v>309</v>
      </c>
      <c r="AB141" s="310" t="s">
        <v>309</v>
      </c>
      <c r="AC141" s="294"/>
      <c r="AD141" s="295" t="str">
        <f t="shared" si="21"/>
        <v/>
      </c>
    </row>
    <row r="142" spans="1:36" s="296" customFormat="1" ht="17.25" customHeight="1" x14ac:dyDescent="0.2">
      <c r="A142" s="727" t="s">
        <v>529</v>
      </c>
      <c r="B142" s="297" t="s">
        <v>408</v>
      </c>
      <c r="C142" s="298">
        <v>200</v>
      </c>
      <c r="D142" s="299">
        <v>6.1</v>
      </c>
      <c r="E142" s="299">
        <v>10.3</v>
      </c>
      <c r="F142" s="300">
        <v>115</v>
      </c>
      <c r="G142" s="301">
        <v>0.15</v>
      </c>
      <c r="H142" s="302">
        <v>130</v>
      </c>
      <c r="I142" s="303">
        <f t="shared" si="22"/>
        <v>-2</v>
      </c>
      <c r="J142" s="302"/>
      <c r="K142" s="302">
        <v>338</v>
      </c>
      <c r="L142" s="302">
        <v>536</v>
      </c>
      <c r="M142" s="302">
        <f t="shared" si="23"/>
        <v>235</v>
      </c>
      <c r="N142" s="302">
        <v>0</v>
      </c>
      <c r="O142" s="336">
        <v>0</v>
      </c>
      <c r="P142" s="302">
        <v>17</v>
      </c>
      <c r="Q142" s="302">
        <f t="shared" si="19"/>
        <v>17</v>
      </c>
      <c r="R142" s="302">
        <v>36</v>
      </c>
      <c r="S142" s="302">
        <v>305</v>
      </c>
      <c r="T142" s="302"/>
      <c r="U142" s="302">
        <v>78</v>
      </c>
      <c r="V142" s="299">
        <v>2.7</v>
      </c>
      <c r="W142" s="299">
        <v>3.6</v>
      </c>
      <c r="X142" s="299">
        <v>0.2</v>
      </c>
      <c r="Y142" s="299">
        <v>1.1000000000000001</v>
      </c>
      <c r="Z142" s="304">
        <v>27</v>
      </c>
      <c r="AA142" s="293" t="s">
        <v>309</v>
      </c>
      <c r="AB142" s="310">
        <f>14*Z142+3.5</f>
        <v>381.5</v>
      </c>
      <c r="AC142" s="294"/>
      <c r="AD142" s="295" t="str">
        <f t="shared" si="21"/>
        <v/>
      </c>
    </row>
    <row r="143" spans="1:36" s="296" customFormat="1" ht="17.25" customHeight="1" x14ac:dyDescent="0.2">
      <c r="A143" s="727" t="s">
        <v>529</v>
      </c>
      <c r="B143" s="297" t="s">
        <v>409</v>
      </c>
      <c r="C143" s="298">
        <v>315</v>
      </c>
      <c r="D143" s="299">
        <v>5.6</v>
      </c>
      <c r="E143" s="299">
        <v>9.5</v>
      </c>
      <c r="F143" s="300">
        <v>116</v>
      </c>
      <c r="G143" s="301">
        <v>0.15</v>
      </c>
      <c r="H143" s="302">
        <v>122</v>
      </c>
      <c r="I143" s="303">
        <f t="shared" ref="I143:I148" si="24">IF((F143-H143)/6.25&lt;0,ROUND((F143-H143)/6.25,0),"+"&amp;ROUND(((F143-H143)/6.25),0))</f>
        <v>-1</v>
      </c>
      <c r="J143" s="302"/>
      <c r="K143" s="302">
        <v>342</v>
      </c>
      <c r="L143" s="302">
        <v>549</v>
      </c>
      <c r="M143" s="302">
        <f t="shared" si="23"/>
        <v>192</v>
      </c>
      <c r="N143" s="302">
        <v>0</v>
      </c>
      <c r="O143" s="336">
        <v>0</v>
      </c>
      <c r="P143" s="302">
        <v>26</v>
      </c>
      <c r="Q143" s="302">
        <f t="shared" si="19"/>
        <v>26</v>
      </c>
      <c r="R143" s="302">
        <v>31</v>
      </c>
      <c r="S143" s="302">
        <v>296</v>
      </c>
      <c r="T143" s="302"/>
      <c r="U143" s="302">
        <v>112</v>
      </c>
      <c r="V143" s="299">
        <v>2.7</v>
      </c>
      <c r="W143" s="299">
        <v>3.6</v>
      </c>
      <c r="X143" s="299">
        <v>0.2</v>
      </c>
      <c r="Y143" s="299">
        <v>1.1000000000000001</v>
      </c>
      <c r="Z143" s="304">
        <v>27</v>
      </c>
      <c r="AA143" s="293"/>
      <c r="AB143" s="310">
        <f t="shared" ref="AB143:AB150" si="25">14*Z143+3.5</f>
        <v>381.5</v>
      </c>
      <c r="AC143" s="294"/>
      <c r="AD143" s="295"/>
    </row>
    <row r="144" spans="1:36" s="296" customFormat="1" ht="17.25" customHeight="1" x14ac:dyDescent="0.2">
      <c r="A144" s="727" t="s">
        <v>529</v>
      </c>
      <c r="B144" s="297" t="s">
        <v>410</v>
      </c>
      <c r="C144" s="298">
        <v>245</v>
      </c>
      <c r="D144" s="299">
        <v>5.0999999999999996</v>
      </c>
      <c r="E144" s="299">
        <v>8.8000000000000007</v>
      </c>
      <c r="F144" s="300">
        <v>102</v>
      </c>
      <c r="G144" s="301">
        <v>0.15</v>
      </c>
      <c r="H144" s="302">
        <v>113</v>
      </c>
      <c r="I144" s="303">
        <f t="shared" si="24"/>
        <v>-2</v>
      </c>
      <c r="J144" s="302"/>
      <c r="K144" s="302">
        <v>350</v>
      </c>
      <c r="L144" s="302">
        <v>577</v>
      </c>
      <c r="M144" s="302">
        <f t="shared" si="23"/>
        <v>199</v>
      </c>
      <c r="N144" s="302">
        <v>0</v>
      </c>
      <c r="O144" s="336">
        <v>0</v>
      </c>
      <c r="P144" s="302">
        <v>0</v>
      </c>
      <c r="Q144" s="302">
        <f t="shared" si="19"/>
        <v>0</v>
      </c>
      <c r="R144" s="302">
        <v>31</v>
      </c>
      <c r="S144" s="302">
        <v>322</v>
      </c>
      <c r="T144" s="302"/>
      <c r="U144" s="302">
        <v>91</v>
      </c>
      <c r="V144" s="299">
        <v>2.7</v>
      </c>
      <c r="W144" s="299">
        <v>3.6</v>
      </c>
      <c r="X144" s="299">
        <v>0.2</v>
      </c>
      <c r="Y144" s="299">
        <v>1.1000000000000001</v>
      </c>
      <c r="Z144" s="304">
        <v>27</v>
      </c>
      <c r="AA144" s="293"/>
      <c r="AB144" s="310">
        <f t="shared" si="25"/>
        <v>381.5</v>
      </c>
      <c r="AC144" s="294"/>
      <c r="AD144" s="295"/>
    </row>
    <row r="145" spans="1:36" s="296" customFormat="1" ht="17.25" customHeight="1" x14ac:dyDescent="0.2">
      <c r="A145" s="727" t="s">
        <v>529</v>
      </c>
      <c r="B145" s="297" t="s">
        <v>421</v>
      </c>
      <c r="C145" s="298">
        <v>380</v>
      </c>
      <c r="D145" s="299">
        <v>6.4</v>
      </c>
      <c r="E145" s="299">
        <v>10.6</v>
      </c>
      <c r="F145" s="300">
        <v>147</v>
      </c>
      <c r="G145" s="301">
        <v>0.15</v>
      </c>
      <c r="H145" s="302">
        <v>140</v>
      </c>
      <c r="I145" s="303" t="str">
        <f t="shared" si="24"/>
        <v>+1</v>
      </c>
      <c r="J145" s="302"/>
      <c r="K145" s="302">
        <v>258</v>
      </c>
      <c r="L145" s="302">
        <v>400</v>
      </c>
      <c r="M145" s="302">
        <f t="shared" si="23"/>
        <v>317</v>
      </c>
      <c r="N145" s="302">
        <v>0</v>
      </c>
      <c r="O145" s="336">
        <v>0</v>
      </c>
      <c r="P145" s="302">
        <v>50</v>
      </c>
      <c r="Q145" s="302">
        <f t="shared" si="19"/>
        <v>50</v>
      </c>
      <c r="R145" s="302">
        <v>34</v>
      </c>
      <c r="S145" s="302">
        <v>224</v>
      </c>
      <c r="T145" s="302"/>
      <c r="U145" s="302">
        <v>102</v>
      </c>
      <c r="V145" s="299">
        <v>8.4</v>
      </c>
      <c r="W145" s="299">
        <v>4.0999999999999996</v>
      </c>
      <c r="X145" s="299">
        <v>0.6</v>
      </c>
      <c r="Y145" s="299">
        <v>2.1</v>
      </c>
      <c r="Z145" s="304">
        <v>33</v>
      </c>
      <c r="AA145" s="293"/>
      <c r="AB145" s="310">
        <f t="shared" si="25"/>
        <v>465.5</v>
      </c>
      <c r="AC145" s="294"/>
      <c r="AD145" s="295"/>
    </row>
    <row r="146" spans="1:36" s="296" customFormat="1" ht="17.25" customHeight="1" x14ac:dyDescent="0.2">
      <c r="A146" s="727" t="s">
        <v>529</v>
      </c>
      <c r="B146" s="297" t="s">
        <v>422</v>
      </c>
      <c r="C146" s="298">
        <v>390</v>
      </c>
      <c r="D146" s="299">
        <v>5.6</v>
      </c>
      <c r="E146" s="299">
        <v>9.6</v>
      </c>
      <c r="F146" s="300">
        <v>146</v>
      </c>
      <c r="G146" s="301">
        <v>0.15</v>
      </c>
      <c r="H146" s="302">
        <v>128</v>
      </c>
      <c r="I146" s="303" t="str">
        <f t="shared" si="24"/>
        <v>+3</v>
      </c>
      <c r="J146" s="302"/>
      <c r="K146" s="302">
        <v>313</v>
      </c>
      <c r="L146" s="302">
        <v>430</v>
      </c>
      <c r="M146" s="302">
        <f t="shared" si="23"/>
        <v>282</v>
      </c>
      <c r="N146" s="302">
        <v>0</v>
      </c>
      <c r="O146" s="336">
        <v>0</v>
      </c>
      <c r="P146" s="302">
        <v>40</v>
      </c>
      <c r="Q146" s="302">
        <f t="shared" si="19"/>
        <v>40</v>
      </c>
      <c r="R146" s="302">
        <v>31</v>
      </c>
      <c r="S146" s="302">
        <v>249</v>
      </c>
      <c r="T146" s="302"/>
      <c r="U146" s="302">
        <v>111</v>
      </c>
      <c r="V146" s="299">
        <v>13.4</v>
      </c>
      <c r="W146" s="299">
        <v>3.1</v>
      </c>
      <c r="X146" s="299">
        <v>0.5</v>
      </c>
      <c r="Y146" s="299">
        <v>2.5</v>
      </c>
      <c r="Z146" s="304">
        <v>25.1</v>
      </c>
      <c r="AA146" s="293"/>
      <c r="AB146" s="310">
        <f t="shared" si="25"/>
        <v>354.90000000000003</v>
      </c>
      <c r="AC146" s="294"/>
      <c r="AD146" s="295"/>
    </row>
    <row r="147" spans="1:36" s="296" customFormat="1" ht="17.25" customHeight="1" x14ac:dyDescent="0.2">
      <c r="A147" s="727" t="s">
        <v>529</v>
      </c>
      <c r="B147" s="297" t="s">
        <v>423</v>
      </c>
      <c r="C147" s="298">
        <v>350</v>
      </c>
      <c r="D147" s="299">
        <v>5.2</v>
      </c>
      <c r="E147" s="299">
        <v>8.9</v>
      </c>
      <c r="F147" s="300">
        <v>154</v>
      </c>
      <c r="G147" s="301">
        <v>0.15</v>
      </c>
      <c r="H147" s="302">
        <v>125</v>
      </c>
      <c r="I147" s="303" t="str">
        <f t="shared" si="24"/>
        <v>+5</v>
      </c>
      <c r="J147" s="302"/>
      <c r="K147" s="302">
        <v>348</v>
      </c>
      <c r="L147" s="302">
        <v>440</v>
      </c>
      <c r="M147" s="302">
        <f t="shared" si="23"/>
        <v>265</v>
      </c>
      <c r="N147" s="302">
        <v>0</v>
      </c>
      <c r="O147" s="336">
        <v>0</v>
      </c>
      <c r="P147" s="302">
        <v>20</v>
      </c>
      <c r="Q147" s="302">
        <f t="shared" si="19"/>
        <v>20</v>
      </c>
      <c r="R147" s="302">
        <v>30</v>
      </c>
      <c r="S147" s="302">
        <v>289</v>
      </c>
      <c r="T147" s="302"/>
      <c r="U147" s="302">
        <v>111</v>
      </c>
      <c r="V147" s="299">
        <v>15.5</v>
      </c>
      <c r="W147" s="299">
        <v>3.4</v>
      </c>
      <c r="X147" s="299">
        <v>0.2</v>
      </c>
      <c r="Y147" s="299">
        <v>2.4</v>
      </c>
      <c r="Z147" s="304">
        <v>31.5</v>
      </c>
      <c r="AA147" s="293"/>
      <c r="AB147" s="310">
        <f t="shared" si="25"/>
        <v>444.5</v>
      </c>
      <c r="AC147" s="294"/>
      <c r="AD147" s="295"/>
    </row>
    <row r="148" spans="1:36" s="296" customFormat="1" ht="17.25" customHeight="1" x14ac:dyDescent="0.2">
      <c r="A148" s="727" t="s">
        <v>529</v>
      </c>
      <c r="B148" s="297" t="s">
        <v>424</v>
      </c>
      <c r="C148" s="310">
        <f>(332*4+387*3)/7</f>
        <v>355.57142857142856</v>
      </c>
      <c r="D148" s="299">
        <f>(6.03*4+5.93*3)/7</f>
        <v>5.9871428571428567</v>
      </c>
      <c r="E148" s="299">
        <f>(10.8*4+9.9*3)/7</f>
        <v>10.414285714285715</v>
      </c>
      <c r="F148" s="300">
        <f>(148*4+151*3)/7</f>
        <v>149.28571428571428</v>
      </c>
      <c r="G148" s="301">
        <v>0.15</v>
      </c>
      <c r="H148" s="302">
        <f>(134*4+131*3)/7</f>
        <v>132.71428571428572</v>
      </c>
      <c r="I148" s="303" t="str">
        <f t="shared" si="24"/>
        <v>+3</v>
      </c>
      <c r="J148" s="302"/>
      <c r="K148" s="302">
        <f>(288*4+286*3)/7</f>
        <v>287.14285714285717</v>
      </c>
      <c r="L148" s="302">
        <f>(453*4+412*3)/7</f>
        <v>435.42857142857144</v>
      </c>
      <c r="M148" s="302">
        <f t="shared" si="23"/>
        <v>272.42857142857144</v>
      </c>
      <c r="N148" s="302">
        <v>0</v>
      </c>
      <c r="O148" s="336">
        <v>0</v>
      </c>
      <c r="P148" s="302">
        <v>60</v>
      </c>
      <c r="Q148" s="302">
        <f t="shared" si="19"/>
        <v>60</v>
      </c>
      <c r="R148" s="302">
        <f>(36*4+33*3)/7</f>
        <v>34.714285714285715</v>
      </c>
      <c r="S148" s="302">
        <f>(253*4+239*3)/7</f>
        <v>247</v>
      </c>
      <c r="T148" s="302"/>
      <c r="U148" s="302">
        <f>(103*4+115*3)/7</f>
        <v>108.14285714285714</v>
      </c>
      <c r="V148" s="299">
        <f>(6*4+7.8*3)/7</f>
        <v>6.7714285714285714</v>
      </c>
      <c r="W148" s="299">
        <f>(3.6*4+3.6*3)/7</f>
        <v>3.6000000000000005</v>
      </c>
      <c r="X148" s="299">
        <f>(0.7*4+1.8*3)/7</f>
        <v>1.1714285714285713</v>
      </c>
      <c r="Y148" s="299">
        <f>(2.3*4+3.3*3)/7</f>
        <v>2.7285714285714282</v>
      </c>
      <c r="Z148" s="304">
        <f>(25.6*4+30.7*3)/7</f>
        <v>27.785714285714285</v>
      </c>
      <c r="AA148" s="293"/>
      <c r="AB148" s="310">
        <f t="shared" si="25"/>
        <v>392.5</v>
      </c>
      <c r="AC148" s="294"/>
      <c r="AD148" s="295"/>
    </row>
    <row r="149" spans="1:36" s="296" customFormat="1" ht="17.25" customHeight="1" x14ac:dyDescent="0.2">
      <c r="A149" s="727" t="s">
        <v>529</v>
      </c>
      <c r="B149" s="297" t="s">
        <v>425</v>
      </c>
      <c r="C149" s="310">
        <f>(394*19+324*4)/23</f>
        <v>381.82608695652175</v>
      </c>
      <c r="D149" s="299">
        <f>(5.64*19+5.65*4)/23</f>
        <v>5.6417391304347824</v>
      </c>
      <c r="E149" s="299">
        <f>(9.57*19+9.52*4)/23</f>
        <v>9.5613043478260877</v>
      </c>
      <c r="F149" s="300">
        <f>(146*19+165*4)/23</f>
        <v>149.30434782608697</v>
      </c>
      <c r="G149" s="301">
        <v>0.15</v>
      </c>
      <c r="H149" s="302">
        <f>(128*19+129*4)/23</f>
        <v>128.17391304347825</v>
      </c>
      <c r="I149" s="303" t="str">
        <f>IF((F149-H149)/6.25&lt;0,ROUND((F149-H149)/6.25,0),"+"&amp;ROUND(((F149-H149)/6.25),0))</f>
        <v>+3</v>
      </c>
      <c r="J149" s="302"/>
      <c r="K149" s="302">
        <f>(313*19+291*4)/23</f>
        <v>309.17391304347825</v>
      </c>
      <c r="L149" s="302">
        <f>(430*19+435*4)/23</f>
        <v>430.86956521739131</v>
      </c>
      <c r="M149" s="302">
        <f t="shared" si="23"/>
        <v>275.21739130434776</v>
      </c>
      <c r="N149" s="302">
        <v>0</v>
      </c>
      <c r="O149" s="336">
        <v>0</v>
      </c>
      <c r="P149" s="302">
        <v>40</v>
      </c>
      <c r="Q149" s="302">
        <f t="shared" si="19"/>
        <v>40</v>
      </c>
      <c r="R149" s="302">
        <f>(31*19+38*4)/23</f>
        <v>32.217391304347828</v>
      </c>
      <c r="S149" s="302">
        <f>(249*19+243*4)/23</f>
        <v>247.95652173913044</v>
      </c>
      <c r="T149" s="302"/>
      <c r="U149" s="302">
        <f>(111*19+119*4)/23</f>
        <v>112.39130434782609</v>
      </c>
      <c r="V149" s="299">
        <f>(13.4*19+7.8*4)/23</f>
        <v>12.42608695652174</v>
      </c>
      <c r="W149" s="299">
        <f>(3.1*19+3.6*4)/23</f>
        <v>3.1869565217391305</v>
      </c>
      <c r="X149" s="299">
        <f>(0*19+1.8*4)/23</f>
        <v>0.31304347826086959</v>
      </c>
      <c r="Y149" s="299">
        <f>(2.5*19+3.3*4)/23</f>
        <v>2.6391304347826088</v>
      </c>
      <c r="Z149" s="304">
        <f>(25.1*19+30.7*4)/23</f>
        <v>26.073913043478264</v>
      </c>
      <c r="AA149" s="293"/>
      <c r="AB149" s="310">
        <f t="shared" si="25"/>
        <v>368.53478260869571</v>
      </c>
      <c r="AC149" s="294"/>
      <c r="AD149" s="295"/>
    </row>
    <row r="150" spans="1:36" s="296" customFormat="1" ht="17.25" customHeight="1" x14ac:dyDescent="0.2">
      <c r="A150" s="727" t="s">
        <v>529</v>
      </c>
      <c r="B150" s="297" t="s">
        <v>426</v>
      </c>
      <c r="C150" s="310">
        <f>(353*7+391*2)/9</f>
        <v>361.44444444444446</v>
      </c>
      <c r="D150" s="299">
        <f>(5.19*7+5.45*2)/9</f>
        <v>5.2477777777777783</v>
      </c>
      <c r="E150" s="299">
        <f>(8.87*7+9.25*2)/9</f>
        <v>8.9544444444444444</v>
      </c>
      <c r="F150" s="300">
        <f>(154*7+208*2)/9</f>
        <v>166</v>
      </c>
      <c r="G150" s="301">
        <v>0.15</v>
      </c>
      <c r="H150" s="302">
        <f>(125*7+141*2)/9</f>
        <v>128.55555555555554</v>
      </c>
      <c r="I150" s="303" t="str">
        <f>IF((F150-H150)/6.25&lt;0,ROUND((F150-H150)/6.25,0),"+"&amp;ROUND(((F150-H150)/6.25),0))</f>
        <v>+6</v>
      </c>
      <c r="J150" s="302"/>
      <c r="K150" s="302">
        <f>(348*7+318*2)/9</f>
        <v>341.33333333333331</v>
      </c>
      <c r="L150" s="302">
        <f>(440*7+386*2)/9</f>
        <v>428</v>
      </c>
      <c r="M150" s="302">
        <f t="shared" si="23"/>
        <v>261.4444444444444</v>
      </c>
      <c r="N150" s="302">
        <v>0</v>
      </c>
      <c r="O150" s="336">
        <v>0</v>
      </c>
      <c r="P150" s="302">
        <v>20</v>
      </c>
      <c r="Q150" s="302">
        <f t="shared" si="19"/>
        <v>20</v>
      </c>
      <c r="R150" s="302">
        <f>(30*7+34*2)/9</f>
        <v>30.888888888888889</v>
      </c>
      <c r="S150" s="302">
        <f>(289*7+245*2)/9</f>
        <v>279.22222222222223</v>
      </c>
      <c r="T150" s="302"/>
      <c r="U150" s="302">
        <f>(111*7+123*2)/9</f>
        <v>113.66666666666667</v>
      </c>
      <c r="V150" s="299">
        <f>(15.5*7+7.8*2)/9</f>
        <v>13.788888888888888</v>
      </c>
      <c r="W150" s="299">
        <f>(3.4*7+3.6*2)/9</f>
        <v>3.4444444444444446</v>
      </c>
      <c r="X150" s="299">
        <f>(0.2*7+1.8*2)/9</f>
        <v>0.55555555555555558</v>
      </c>
      <c r="Y150" s="299">
        <f>(2.4*7+3.3*2)/9</f>
        <v>2.5999999999999996</v>
      </c>
      <c r="Z150" s="304">
        <f>(31.5*7+30.7*2)/9</f>
        <v>31.322222222222219</v>
      </c>
      <c r="AA150" s="293"/>
      <c r="AB150" s="310">
        <f t="shared" si="25"/>
        <v>442.01111111111106</v>
      </c>
      <c r="AC150" s="294"/>
      <c r="AD150" s="295"/>
    </row>
    <row r="151" spans="1:36" s="296" customFormat="1" ht="17.25" customHeight="1" x14ac:dyDescent="0.2">
      <c r="A151" s="727" t="s">
        <v>529</v>
      </c>
      <c r="B151" s="297" t="s">
        <v>515</v>
      </c>
      <c r="C151" s="298">
        <v>270</v>
      </c>
      <c r="D151" s="299">
        <v>3.6</v>
      </c>
      <c r="E151" s="299">
        <v>6.6</v>
      </c>
      <c r="F151" s="300">
        <v>72</v>
      </c>
      <c r="G151" s="301">
        <v>0.15</v>
      </c>
      <c r="H151" s="302">
        <f>(11.93-(6.82*(G151)))*E151+1.03*G151*F151</f>
        <v>83.110199999999992</v>
      </c>
      <c r="I151" s="303">
        <f>(F151-H151)/6.25</f>
        <v>-1.7776319999999988</v>
      </c>
      <c r="J151" s="302"/>
      <c r="K151" s="302">
        <v>399</v>
      </c>
      <c r="L151" s="302">
        <v>458</v>
      </c>
      <c r="M151" s="302">
        <f t="shared" si="23"/>
        <v>320</v>
      </c>
      <c r="N151" s="302">
        <v>0</v>
      </c>
      <c r="O151" s="336">
        <v>0</v>
      </c>
      <c r="P151" s="302">
        <v>0</v>
      </c>
      <c r="Q151" s="302">
        <f t="shared" si="19"/>
        <v>0</v>
      </c>
      <c r="R151" s="302">
        <v>33</v>
      </c>
      <c r="S151" s="302">
        <v>337</v>
      </c>
      <c r="T151" s="302"/>
      <c r="U151" s="302">
        <v>117</v>
      </c>
      <c r="V151" s="299">
        <v>30</v>
      </c>
      <c r="W151" s="299">
        <v>2.2000000000000002</v>
      </c>
      <c r="X151" s="299">
        <v>0</v>
      </c>
      <c r="Y151" s="299">
        <v>4.4000000000000004</v>
      </c>
      <c r="Z151" s="304">
        <v>19</v>
      </c>
      <c r="AA151" s="293"/>
      <c r="AB151" s="310"/>
      <c r="AC151" s="294"/>
      <c r="AD151" s="295"/>
    </row>
    <row r="152" spans="1:36" s="296" customFormat="1" ht="17.25" customHeight="1" x14ac:dyDescent="0.2">
      <c r="A152" s="727"/>
      <c r="B152" s="297" t="s">
        <v>105</v>
      </c>
      <c r="C152" s="298">
        <v>250</v>
      </c>
      <c r="D152" s="299">
        <v>6.4</v>
      </c>
      <c r="E152" s="299">
        <v>10.5</v>
      </c>
      <c r="F152" s="300">
        <v>69</v>
      </c>
      <c r="G152" s="301">
        <v>0.6</v>
      </c>
      <c r="H152" s="302">
        <f>ROUND((11.93-(6.82*G152))*E152+1.03*G152*F152,0)</f>
        <v>125</v>
      </c>
      <c r="I152" s="303">
        <f t="shared" si="22"/>
        <v>-9</v>
      </c>
      <c r="J152" s="302"/>
      <c r="K152" s="302">
        <v>375</v>
      </c>
      <c r="L152" s="302">
        <v>470</v>
      </c>
      <c r="M152" s="302">
        <f t="shared" si="23"/>
        <v>411</v>
      </c>
      <c r="N152" s="302">
        <v>0</v>
      </c>
      <c r="O152" s="336">
        <v>0</v>
      </c>
      <c r="P152" s="302">
        <v>150</v>
      </c>
      <c r="Q152" s="302">
        <f t="shared" si="19"/>
        <v>150</v>
      </c>
      <c r="R152" s="302">
        <v>20</v>
      </c>
      <c r="S152" s="302">
        <v>248</v>
      </c>
      <c r="T152" s="302"/>
      <c r="U152" s="302">
        <v>30</v>
      </c>
      <c r="V152" s="299">
        <v>1.8</v>
      </c>
      <c r="W152" s="299">
        <v>1.5</v>
      </c>
      <c r="X152" s="299">
        <v>0.9</v>
      </c>
      <c r="Y152" s="299">
        <v>0.7</v>
      </c>
      <c r="Z152" s="304">
        <f>6.1/0.92</f>
        <v>6.6304347826086953</v>
      </c>
      <c r="AA152" s="293" t="s">
        <v>309</v>
      </c>
      <c r="AB152" s="310" t="s">
        <v>309</v>
      </c>
      <c r="AC152" s="294"/>
      <c r="AD152" s="295" t="str">
        <f>IF(COUNTA(B152:AA152)&lt;21,"x","")</f>
        <v/>
      </c>
      <c r="AE152" s="296">
        <f>+S152</f>
        <v>248</v>
      </c>
      <c r="AF152" s="296">
        <f>IF(N152=0,0.0001,N152)</f>
        <v>1E-4</v>
      </c>
      <c r="AG152" s="296">
        <v>0.1</v>
      </c>
      <c r="AH152" s="296">
        <f>+AF152*AG152</f>
        <v>1.0000000000000001E-5</v>
      </c>
      <c r="AI152" s="296">
        <f>+P152</f>
        <v>150</v>
      </c>
      <c r="AJ152" s="296">
        <f>0.9-1.3*AG152</f>
        <v>0.77</v>
      </c>
    </row>
    <row r="153" spans="1:36" s="296" customFormat="1" ht="17.25" customHeight="1" x14ac:dyDescent="0.2">
      <c r="A153" s="727" t="s">
        <v>529</v>
      </c>
      <c r="B153" s="297" t="s">
        <v>499</v>
      </c>
      <c r="C153" s="298">
        <v>386</v>
      </c>
      <c r="D153" s="299">
        <v>6.9</v>
      </c>
      <c r="E153" s="299">
        <v>11.31</v>
      </c>
      <c r="F153" s="300">
        <v>165</v>
      </c>
      <c r="G153" s="301">
        <v>0.15</v>
      </c>
      <c r="H153" s="302">
        <v>148</v>
      </c>
      <c r="I153" s="303" t="str">
        <f t="shared" si="22"/>
        <v>+3</v>
      </c>
      <c r="J153" s="302"/>
      <c r="K153" s="302">
        <v>234</v>
      </c>
      <c r="L153" s="302">
        <v>401</v>
      </c>
      <c r="M153" s="302">
        <f t="shared" si="23"/>
        <v>299</v>
      </c>
      <c r="N153" s="302">
        <v>0</v>
      </c>
      <c r="O153" s="336">
        <v>0</v>
      </c>
      <c r="P153" s="302">
        <v>100</v>
      </c>
      <c r="Q153" s="302">
        <f t="shared" si="19"/>
        <v>100</v>
      </c>
      <c r="R153" s="302">
        <v>35</v>
      </c>
      <c r="S153" s="302">
        <v>217</v>
      </c>
      <c r="T153" s="302"/>
      <c r="U153" s="302">
        <v>100</v>
      </c>
      <c r="V153" s="299">
        <v>5.6</v>
      </c>
      <c r="W153" s="299">
        <v>4.4000000000000004</v>
      </c>
      <c r="X153" s="299">
        <v>1</v>
      </c>
      <c r="Y153" s="299">
        <v>1.6</v>
      </c>
      <c r="Z153" s="304">
        <v>32.200000000000003</v>
      </c>
      <c r="AA153" s="293"/>
      <c r="AB153" s="310">
        <f>14.01*Z153+3.5</f>
        <v>454.62200000000001</v>
      </c>
      <c r="AC153" s="294"/>
      <c r="AD153" s="295"/>
    </row>
    <row r="154" spans="1:36" s="296" customFormat="1" ht="17.25" customHeight="1" x14ac:dyDescent="0.2">
      <c r="A154" s="727" t="s">
        <v>529</v>
      </c>
      <c r="B154" s="297" t="s">
        <v>500</v>
      </c>
      <c r="C154" s="298">
        <v>322</v>
      </c>
      <c r="D154" s="299">
        <v>6.41</v>
      </c>
      <c r="E154" s="299">
        <v>10.62</v>
      </c>
      <c r="F154" s="300">
        <v>151</v>
      </c>
      <c r="G154" s="301">
        <v>0.15</v>
      </c>
      <c r="H154" s="302">
        <v>139</v>
      </c>
      <c r="I154" s="303" t="str">
        <f t="shared" si="22"/>
        <v>+2</v>
      </c>
      <c r="J154" s="302"/>
      <c r="K154" s="302">
        <v>258</v>
      </c>
      <c r="L154" s="302">
        <v>398</v>
      </c>
      <c r="M154" s="302">
        <f t="shared" si="23"/>
        <v>310</v>
      </c>
      <c r="N154" s="302">
        <v>0</v>
      </c>
      <c r="O154" s="336">
        <v>0</v>
      </c>
      <c r="P154" s="302">
        <v>60</v>
      </c>
      <c r="Q154" s="302">
        <f t="shared" si="19"/>
        <v>60</v>
      </c>
      <c r="R154" s="302">
        <v>35</v>
      </c>
      <c r="S154" s="302">
        <v>229</v>
      </c>
      <c r="T154" s="302"/>
      <c r="U154" s="302">
        <v>106</v>
      </c>
      <c r="V154" s="299">
        <v>6.5</v>
      </c>
      <c r="W154" s="299">
        <v>3.6</v>
      </c>
      <c r="X154" s="299">
        <v>0.4</v>
      </c>
      <c r="Y154" s="299">
        <v>1.6</v>
      </c>
      <c r="Z154" s="304">
        <v>29.7</v>
      </c>
      <c r="AA154" s="293"/>
      <c r="AB154" s="310">
        <f t="shared" ref="AB154:AB161" si="26">14.01*Z154+3.5</f>
        <v>419.59699999999998</v>
      </c>
      <c r="AC154" s="294"/>
      <c r="AD154" s="295"/>
    </row>
    <row r="155" spans="1:36" s="296" customFormat="1" ht="17.25" customHeight="1" x14ac:dyDescent="0.2">
      <c r="A155" s="727" t="s">
        <v>529</v>
      </c>
      <c r="B155" s="297" t="s">
        <v>501</v>
      </c>
      <c r="C155" s="298">
        <v>313</v>
      </c>
      <c r="D155" s="299">
        <v>5.87</v>
      </c>
      <c r="E155" s="299">
        <v>9.85</v>
      </c>
      <c r="F155" s="300">
        <v>130</v>
      </c>
      <c r="G155" s="301">
        <v>0.15</v>
      </c>
      <c r="H155" s="302">
        <v>127</v>
      </c>
      <c r="I155" s="303" t="str">
        <f t="shared" si="22"/>
        <v>+0</v>
      </c>
      <c r="J155" s="302"/>
      <c r="K155" s="302">
        <v>292</v>
      </c>
      <c r="L155" s="302">
        <v>453</v>
      </c>
      <c r="M155" s="302">
        <f t="shared" si="23"/>
        <v>269</v>
      </c>
      <c r="N155" s="302">
        <v>0</v>
      </c>
      <c r="O155" s="336">
        <v>0</v>
      </c>
      <c r="P155" s="302">
        <v>50</v>
      </c>
      <c r="Q155" s="302">
        <f t="shared" si="19"/>
        <v>50</v>
      </c>
      <c r="R155" s="302">
        <v>34</v>
      </c>
      <c r="S155" s="302">
        <v>259</v>
      </c>
      <c r="T155" s="302"/>
      <c r="U155" s="302">
        <v>114</v>
      </c>
      <c r="V155" s="299">
        <v>6.2</v>
      </c>
      <c r="W155" s="299">
        <v>4</v>
      </c>
      <c r="X155" s="299">
        <v>0.2</v>
      </c>
      <c r="Y155" s="299">
        <v>1.5</v>
      </c>
      <c r="Z155" s="304">
        <v>32.4</v>
      </c>
      <c r="AA155" s="293"/>
      <c r="AB155" s="310">
        <f t="shared" si="26"/>
        <v>457.42399999999998</v>
      </c>
      <c r="AC155" s="294"/>
      <c r="AD155" s="295"/>
    </row>
    <row r="156" spans="1:36" s="296" customFormat="1" ht="17.25" customHeight="1" x14ac:dyDescent="0.2">
      <c r="A156" s="727" t="s">
        <v>529</v>
      </c>
      <c r="B156" s="297" t="s">
        <v>502</v>
      </c>
      <c r="C156" s="298">
        <f>(363+404)/2</f>
        <v>383.5</v>
      </c>
      <c r="D156" s="299">
        <f>(6.51+5.94)/2</f>
        <v>6.2249999999999996</v>
      </c>
      <c r="E156" s="299">
        <f>(10.73+9.99)/2</f>
        <v>10.36</v>
      </c>
      <c r="F156" s="300">
        <f>(165+171)/2</f>
        <v>168</v>
      </c>
      <c r="G156" s="301">
        <v>0.15</v>
      </c>
      <c r="H156" s="302">
        <f>(142+135)/2</f>
        <v>138.5</v>
      </c>
      <c r="I156" s="303" t="str">
        <f t="shared" si="22"/>
        <v>+5</v>
      </c>
      <c r="J156" s="302"/>
      <c r="K156" s="302">
        <f>(297+284)/2</f>
        <v>290.5</v>
      </c>
      <c r="L156" s="302">
        <f>(450+429)/2</f>
        <v>439.5</v>
      </c>
      <c r="M156" s="302">
        <f t="shared" si="23"/>
        <v>241.5</v>
      </c>
      <c r="N156" s="302">
        <v>0</v>
      </c>
      <c r="O156" s="336">
        <v>0</v>
      </c>
      <c r="P156" s="302">
        <v>100</v>
      </c>
      <c r="Q156" s="302">
        <f t="shared" si="19"/>
        <v>100</v>
      </c>
      <c r="R156" s="302">
        <f>(42+40)/2</f>
        <v>41</v>
      </c>
      <c r="S156" s="302">
        <f>(328+226)/2</f>
        <v>277</v>
      </c>
      <c r="T156" s="302"/>
      <c r="U156" s="302">
        <f>(123+97)/2</f>
        <v>110</v>
      </c>
      <c r="V156" s="299">
        <f>(5.8+11.8)/2</f>
        <v>8.8000000000000007</v>
      </c>
      <c r="W156" s="299">
        <f>(6.3+3.3)/2</f>
        <v>4.8</v>
      </c>
      <c r="X156" s="299">
        <f>(0.8+0.3)/2</f>
        <v>0.55000000000000004</v>
      </c>
      <c r="Y156" s="299">
        <f>(1.6+2.9)/2</f>
        <v>2.25</v>
      </c>
      <c r="Z156" s="304">
        <f>(38.5+21.4)/2</f>
        <v>29.95</v>
      </c>
      <c r="AA156" s="293"/>
      <c r="AB156" s="310">
        <f t="shared" si="26"/>
        <v>423.09949999999998</v>
      </c>
      <c r="AC156" s="294"/>
      <c r="AD156" s="295"/>
    </row>
    <row r="157" spans="1:36" s="296" customFormat="1" ht="17.25" customHeight="1" x14ac:dyDescent="0.2">
      <c r="A157" s="727" t="s">
        <v>529</v>
      </c>
      <c r="B157" s="297" t="s">
        <v>503</v>
      </c>
      <c r="C157" s="298">
        <v>302</v>
      </c>
      <c r="D157" s="299">
        <v>5.78</v>
      </c>
      <c r="E157" s="299">
        <v>9.73</v>
      </c>
      <c r="F157" s="300">
        <v>143</v>
      </c>
      <c r="G157" s="301">
        <v>0.15</v>
      </c>
      <c r="H157" s="302">
        <v>125</v>
      </c>
      <c r="I157" s="303" t="str">
        <f t="shared" si="22"/>
        <v>+3</v>
      </c>
      <c r="J157" s="302"/>
      <c r="K157" s="302">
        <v>299</v>
      </c>
      <c r="L157" s="302">
        <v>455</v>
      </c>
      <c r="M157" s="302">
        <f t="shared" si="23"/>
        <v>261</v>
      </c>
      <c r="N157" s="302">
        <v>0</v>
      </c>
      <c r="O157" s="336">
        <v>0</v>
      </c>
      <c r="P157" s="302">
        <v>60</v>
      </c>
      <c r="Q157" s="302">
        <f t="shared" si="19"/>
        <v>60</v>
      </c>
      <c r="R157" s="302">
        <v>32</v>
      </c>
      <c r="S157" s="302">
        <v>249</v>
      </c>
      <c r="T157" s="302"/>
      <c r="U157" s="302">
        <v>109</v>
      </c>
      <c r="V157" s="299">
        <v>11.8</v>
      </c>
      <c r="W157" s="299">
        <v>3.5</v>
      </c>
      <c r="X157" s="299">
        <v>0.1</v>
      </c>
      <c r="Y157" s="299">
        <v>2.2999999999999998</v>
      </c>
      <c r="Z157" s="304">
        <v>34.1</v>
      </c>
      <c r="AA157" s="293"/>
      <c r="AB157" s="310">
        <f t="shared" si="26"/>
        <v>481.24099999999999</v>
      </c>
      <c r="AC157" s="294"/>
      <c r="AD157" s="295"/>
    </row>
    <row r="158" spans="1:36" s="296" customFormat="1" ht="17.25" customHeight="1" x14ac:dyDescent="0.2">
      <c r="A158" s="727" t="s">
        <v>529</v>
      </c>
      <c r="B158" s="297" t="s">
        <v>504</v>
      </c>
      <c r="C158" s="298">
        <f>(371*3+457)/4</f>
        <v>392.5</v>
      </c>
      <c r="D158" s="299">
        <f>(5.07*3+5.5)/4</f>
        <v>5.1775000000000002</v>
      </c>
      <c r="E158" s="299">
        <f>(8.8*3+9.4)/4</f>
        <v>8.9500000000000011</v>
      </c>
      <c r="F158" s="300">
        <f>(113*3+126)/4</f>
        <v>116.25</v>
      </c>
      <c r="G158" s="301">
        <v>0.15</v>
      </c>
      <c r="H158" s="302">
        <f>(114*3+122)/4</f>
        <v>116</v>
      </c>
      <c r="I158" s="303" t="str">
        <f t="shared" si="22"/>
        <v>+0</v>
      </c>
      <c r="J158" s="302"/>
      <c r="K158" s="302">
        <f>(379*3+322)/4</f>
        <v>364.75</v>
      </c>
      <c r="L158" s="302">
        <v>503</v>
      </c>
      <c r="M158" s="302">
        <f t="shared" si="23"/>
        <v>267.25</v>
      </c>
      <c r="N158" s="302">
        <v>0</v>
      </c>
      <c r="O158" s="336">
        <v>0</v>
      </c>
      <c r="P158" s="302">
        <v>50</v>
      </c>
      <c r="Q158" s="302">
        <f t="shared" si="19"/>
        <v>50</v>
      </c>
      <c r="R158" s="302">
        <f>(23*3+32)/4</f>
        <v>25.25</v>
      </c>
      <c r="S158" s="302">
        <f>(335*3+242)/4</f>
        <v>311.75</v>
      </c>
      <c r="T158" s="302"/>
      <c r="U158" s="302">
        <f>(82*3+107)/4</f>
        <v>88.25</v>
      </c>
      <c r="V158" s="299">
        <f>(4*3+12)/4</f>
        <v>6</v>
      </c>
      <c r="W158" s="299">
        <f>(2.9*3+2.4)/4</f>
        <v>2.7749999999999999</v>
      </c>
      <c r="X158" s="299">
        <v>0.1</v>
      </c>
      <c r="Y158" s="299">
        <v>1.1000000000000001</v>
      </c>
      <c r="Z158" s="304">
        <v>19.399999999999999</v>
      </c>
      <c r="AA158" s="293"/>
      <c r="AB158" s="310">
        <f t="shared" si="26"/>
        <v>275.29399999999998</v>
      </c>
      <c r="AC158" s="294"/>
      <c r="AD158" s="295"/>
    </row>
    <row r="159" spans="1:36" s="296" customFormat="1" ht="17.25" customHeight="1" x14ac:dyDescent="0.2">
      <c r="A159" s="727" t="s">
        <v>529</v>
      </c>
      <c r="B159" s="297" t="s">
        <v>433</v>
      </c>
      <c r="C159" s="298">
        <v>388</v>
      </c>
      <c r="D159" s="299">
        <v>6.97</v>
      </c>
      <c r="E159" s="299">
        <v>11.38</v>
      </c>
      <c r="F159" s="300">
        <v>171</v>
      </c>
      <c r="G159" s="301">
        <v>0.15</v>
      </c>
      <c r="H159" s="302">
        <v>149</v>
      </c>
      <c r="I159" s="303" t="str">
        <f t="shared" si="22"/>
        <v>+4</v>
      </c>
      <c r="J159" s="302"/>
      <c r="K159" s="302">
        <v>219</v>
      </c>
      <c r="L159" s="302">
        <v>349</v>
      </c>
      <c r="M159" s="302">
        <f t="shared" si="23"/>
        <v>335</v>
      </c>
      <c r="N159" s="302">
        <v>0</v>
      </c>
      <c r="O159" s="336">
        <v>0</v>
      </c>
      <c r="P159" s="302">
        <v>100</v>
      </c>
      <c r="Q159" s="302">
        <f t="shared" si="19"/>
        <v>100</v>
      </c>
      <c r="R159" s="302">
        <v>36</v>
      </c>
      <c r="S159" s="302">
        <v>189</v>
      </c>
      <c r="T159" s="302"/>
      <c r="U159" s="302">
        <v>109</v>
      </c>
      <c r="V159" s="299">
        <v>5.0999999999999996</v>
      </c>
      <c r="W159" s="299">
        <v>2.7</v>
      </c>
      <c r="X159" s="299">
        <v>0.1</v>
      </c>
      <c r="Y159" s="299">
        <v>1</v>
      </c>
      <c r="Z159" s="304">
        <v>28.5</v>
      </c>
      <c r="AA159" s="293"/>
      <c r="AB159" s="310">
        <f t="shared" si="26"/>
        <v>402.78499999999997</v>
      </c>
      <c r="AC159" s="294"/>
      <c r="AD159" s="295"/>
    </row>
    <row r="160" spans="1:36" s="296" customFormat="1" ht="17.25" customHeight="1" x14ac:dyDescent="0.2">
      <c r="A160" s="727" t="s">
        <v>529</v>
      </c>
      <c r="B160" s="297" t="s">
        <v>434</v>
      </c>
      <c r="C160" s="298">
        <v>296</v>
      </c>
      <c r="D160" s="299">
        <v>6.32</v>
      </c>
      <c r="E160" s="299">
        <v>10.58</v>
      </c>
      <c r="F160" s="300">
        <v>133</v>
      </c>
      <c r="G160" s="301">
        <v>0.15</v>
      </c>
      <c r="H160" s="302">
        <v>135</v>
      </c>
      <c r="I160" s="303">
        <f>IF((F160-H160)/6.25&lt;0,ROUND((F160-H160)/6.25,0),"+"&amp;ROUND(((F160-H160)/6.25),0))</f>
        <v>0</v>
      </c>
      <c r="J160" s="302"/>
      <c r="K160" s="302">
        <v>272</v>
      </c>
      <c r="L160" s="302">
        <v>436</v>
      </c>
      <c r="M160" s="302">
        <f t="shared" si="23"/>
        <v>303</v>
      </c>
      <c r="N160" s="302">
        <v>0</v>
      </c>
      <c r="O160" s="336">
        <v>0</v>
      </c>
      <c r="P160" s="302">
        <v>60</v>
      </c>
      <c r="Q160" s="302">
        <f t="shared" si="19"/>
        <v>60</v>
      </c>
      <c r="R160" s="302">
        <v>32</v>
      </c>
      <c r="S160" s="302">
        <v>246</v>
      </c>
      <c r="T160" s="302"/>
      <c r="U160" s="302">
        <v>96</v>
      </c>
      <c r="V160" s="299">
        <v>5.0999999999999996</v>
      </c>
      <c r="W160" s="299">
        <v>3.8</v>
      </c>
      <c r="X160" s="299">
        <v>0.2</v>
      </c>
      <c r="Y160" s="299">
        <v>1.4</v>
      </c>
      <c r="Z160" s="304">
        <v>33</v>
      </c>
      <c r="AA160" s="293"/>
      <c r="AB160" s="310">
        <f t="shared" si="26"/>
        <v>465.83</v>
      </c>
      <c r="AC160" s="294"/>
      <c r="AD160" s="295"/>
    </row>
    <row r="161" spans="1:38" s="296" customFormat="1" ht="17.25" customHeight="1" x14ac:dyDescent="0.2">
      <c r="A161" s="727" t="s">
        <v>529</v>
      </c>
      <c r="B161" s="297" t="s">
        <v>435</v>
      </c>
      <c r="C161" s="298">
        <v>394</v>
      </c>
      <c r="D161" s="299">
        <v>5.35</v>
      </c>
      <c r="E161" s="299">
        <v>9.0500000000000007</v>
      </c>
      <c r="F161" s="300">
        <v>70</v>
      </c>
      <c r="G161" s="301">
        <v>0.15</v>
      </c>
      <c r="H161" s="302">
        <v>110</v>
      </c>
      <c r="I161" s="303">
        <f>IF((F161-H161)/6.25&lt;0,ROUND((F161-H161)/6.25,0),"+"&amp;ROUND(((F161-H161)/6.25),0))</f>
        <v>-6</v>
      </c>
      <c r="J161" s="302"/>
      <c r="K161" s="302">
        <v>287</v>
      </c>
      <c r="L161" s="302">
        <v>604</v>
      </c>
      <c r="M161" s="302">
        <f t="shared" si="23"/>
        <v>165</v>
      </c>
      <c r="N161" s="302">
        <v>0</v>
      </c>
      <c r="O161" s="336">
        <v>0</v>
      </c>
      <c r="P161" s="302">
        <v>50</v>
      </c>
      <c r="Q161" s="302">
        <f t="shared" si="19"/>
        <v>50</v>
      </c>
      <c r="R161" s="302">
        <v>23</v>
      </c>
      <c r="S161" s="302">
        <v>305</v>
      </c>
      <c r="T161" s="302"/>
      <c r="U161" s="302">
        <v>138</v>
      </c>
      <c r="V161" s="299">
        <v>5</v>
      </c>
      <c r="W161" s="299">
        <v>2</v>
      </c>
      <c r="X161" s="299">
        <v>0.1</v>
      </c>
      <c r="Y161" s="299">
        <v>1</v>
      </c>
      <c r="Z161" s="304">
        <v>28.5</v>
      </c>
      <c r="AA161" s="293"/>
      <c r="AB161" s="310">
        <f t="shared" si="26"/>
        <v>402.78499999999997</v>
      </c>
      <c r="AC161" s="294"/>
      <c r="AD161" s="295"/>
    </row>
    <row r="162" spans="1:38" s="296" customFormat="1" ht="17.25" customHeight="1" x14ac:dyDescent="0.2">
      <c r="A162" s="727" t="s">
        <v>529</v>
      </c>
      <c r="B162" s="297" t="s">
        <v>77</v>
      </c>
      <c r="C162" s="298">
        <v>180</v>
      </c>
      <c r="D162" s="299">
        <v>5.98</v>
      </c>
      <c r="E162" s="299">
        <v>9.83</v>
      </c>
      <c r="F162" s="300">
        <v>150</v>
      </c>
      <c r="G162" s="301">
        <v>0.15</v>
      </c>
      <c r="H162" s="302">
        <f>ROUND((11.93-(6.82*G162))*E162+1.03*G162*F162,0)</f>
        <v>130</v>
      </c>
      <c r="I162" s="303" t="str">
        <f t="shared" si="22"/>
        <v>+3</v>
      </c>
      <c r="J162" s="302"/>
      <c r="K162" s="302">
        <v>125</v>
      </c>
      <c r="L162" s="302">
        <v>310</v>
      </c>
      <c r="M162" s="302">
        <f t="shared" si="23"/>
        <v>340</v>
      </c>
      <c r="N162" s="302">
        <v>0</v>
      </c>
      <c r="O162" s="336">
        <v>0</v>
      </c>
      <c r="P162" s="302">
        <v>16</v>
      </c>
      <c r="Q162" s="302">
        <f t="shared" si="19"/>
        <v>16</v>
      </c>
      <c r="R162" s="302">
        <v>30</v>
      </c>
      <c r="S162" s="302">
        <v>145</v>
      </c>
      <c r="T162" s="302"/>
      <c r="U162" s="302">
        <v>170</v>
      </c>
      <c r="V162" s="299">
        <f>2.1/0.16</f>
        <v>13.125</v>
      </c>
      <c r="W162" s="299">
        <f>0.4/0.16</f>
        <v>2.5</v>
      </c>
      <c r="X162" s="299">
        <f>0.9/0.16</f>
        <v>5.625</v>
      </c>
      <c r="Y162" s="299">
        <f>0.5/0.16</f>
        <v>3.125</v>
      </c>
      <c r="Z162" s="304">
        <f>4.2/0.16</f>
        <v>26.25</v>
      </c>
      <c r="AA162" s="293" t="s">
        <v>309</v>
      </c>
      <c r="AB162" s="310" t="s">
        <v>309</v>
      </c>
      <c r="AC162" s="294"/>
      <c r="AD162" s="295" t="str">
        <f>IF(COUNTA(B162:AA162)&lt;21,"x","")</f>
        <v/>
      </c>
    </row>
    <row r="163" spans="1:38" s="82" customFormat="1" ht="12" x14ac:dyDescent="0.2">
      <c r="A163" s="725"/>
      <c r="B163" s="257"/>
      <c r="C163" s="258"/>
      <c r="D163" s="259"/>
      <c r="E163" s="259"/>
      <c r="F163" s="260"/>
      <c r="G163" s="259"/>
      <c r="H163" s="259"/>
      <c r="I163" s="259"/>
      <c r="J163" s="259"/>
      <c r="K163" s="307"/>
      <c r="L163" s="307"/>
      <c r="M163" s="307"/>
      <c r="N163" s="307"/>
      <c r="O163" s="337"/>
      <c r="P163" s="307"/>
      <c r="Q163" s="307"/>
      <c r="R163" s="307"/>
      <c r="S163" s="307"/>
      <c r="T163" s="307"/>
      <c r="U163" s="307"/>
      <c r="V163" s="259"/>
      <c r="W163" s="261"/>
      <c r="X163" s="261"/>
      <c r="Y163" s="261"/>
      <c r="Z163" s="262"/>
      <c r="AA163" s="262"/>
      <c r="AB163" s="308"/>
      <c r="AC163" s="282"/>
      <c r="AD163" s="80" t="str">
        <f>IF(COUNTA(B163:AA163)&lt;21,"x","")</f>
        <v>x</v>
      </c>
      <c r="AE163" s="81"/>
      <c r="AF163" s="81"/>
      <c r="AG163" s="81"/>
      <c r="AH163" s="81"/>
      <c r="AI163" s="81"/>
      <c r="AJ163" s="81"/>
      <c r="AL163" s="72"/>
    </row>
    <row r="164" spans="1:38" s="72" customFormat="1" ht="17.25" customHeight="1" x14ac:dyDescent="0.2">
      <c r="A164" s="704" t="s">
        <v>78</v>
      </c>
      <c r="B164" s="263"/>
      <c r="C164" s="264">
        <v>0</v>
      </c>
      <c r="D164" s="265">
        <v>1E-4</v>
      </c>
      <c r="E164" s="265">
        <v>1E-4</v>
      </c>
      <c r="F164" s="266">
        <v>1E-4</v>
      </c>
      <c r="G164" s="265">
        <v>1E-4</v>
      </c>
      <c r="H164" s="265">
        <v>1E-4</v>
      </c>
      <c r="I164" s="265">
        <v>1E-4</v>
      </c>
      <c r="J164" s="265">
        <v>1E-4</v>
      </c>
      <c r="K164" s="265">
        <v>1E-4</v>
      </c>
      <c r="L164" s="265">
        <v>1E-4</v>
      </c>
      <c r="M164" s="265">
        <v>1E-4</v>
      </c>
      <c r="N164" s="265">
        <v>1E-4</v>
      </c>
      <c r="O164" s="265">
        <v>1E-4</v>
      </c>
      <c r="P164" s="265">
        <v>1E-4</v>
      </c>
      <c r="Q164" s="265">
        <v>1E-4</v>
      </c>
      <c r="R164" s="265">
        <v>1E-4</v>
      </c>
      <c r="S164" s="265">
        <v>1E-4</v>
      </c>
      <c r="T164" s="265">
        <v>1E-4</v>
      </c>
      <c r="U164" s="265">
        <v>1E-4</v>
      </c>
      <c r="V164" s="265">
        <v>1E-4</v>
      </c>
      <c r="W164" s="267">
        <v>1E-4</v>
      </c>
      <c r="X164" s="267">
        <v>1E-4</v>
      </c>
      <c r="Y164" s="267">
        <v>1E-4</v>
      </c>
      <c r="Z164" s="268">
        <v>1E-4</v>
      </c>
      <c r="AA164" s="268">
        <v>1E-4</v>
      </c>
      <c r="AB164" s="309"/>
      <c r="AC164" s="270"/>
      <c r="AD164" s="73"/>
      <c r="AE164" s="73"/>
      <c r="AF164" s="73"/>
      <c r="AG164" s="73"/>
      <c r="AH164" s="73"/>
      <c r="AI164" s="73"/>
      <c r="AJ164" s="73"/>
    </row>
    <row r="165" spans="1:38" s="296" customFormat="1" ht="17.25" customHeight="1" x14ac:dyDescent="0.2">
      <c r="A165" s="727" t="s">
        <v>529</v>
      </c>
      <c r="B165" s="297" t="s">
        <v>79</v>
      </c>
      <c r="C165" s="298">
        <v>860</v>
      </c>
      <c r="D165" s="299">
        <v>3.8</v>
      </c>
      <c r="E165" s="299">
        <v>6.9</v>
      </c>
      <c r="F165" s="300">
        <v>32</v>
      </c>
      <c r="G165" s="301">
        <v>0.45</v>
      </c>
      <c r="H165" s="302">
        <v>75</v>
      </c>
      <c r="I165" s="303">
        <f t="shared" ref="I165:I199" si="27">IF((F165-H165)/6.25&lt;0,ROUND((F165-H165)/6.25,0),"+"&amp;ROUND(((F165-H165)/6.25),0))</f>
        <v>-7</v>
      </c>
      <c r="J165" s="302"/>
      <c r="K165" s="302">
        <v>522</v>
      </c>
      <c r="L165" s="302">
        <v>790</v>
      </c>
      <c r="M165" s="302">
        <v>110</v>
      </c>
      <c r="N165" s="302">
        <v>10</v>
      </c>
      <c r="O165" s="336">
        <v>0.15</v>
      </c>
      <c r="P165" s="302">
        <v>7</v>
      </c>
      <c r="Q165" s="302">
        <f t="shared" si="19"/>
        <v>16.984999999999999</v>
      </c>
      <c r="R165" s="302">
        <v>14</v>
      </c>
      <c r="S165" s="302">
        <v>471</v>
      </c>
      <c r="T165" s="302"/>
      <c r="U165" s="302">
        <v>54</v>
      </c>
      <c r="V165" s="299">
        <v>3.4</v>
      </c>
      <c r="W165" s="299">
        <v>1.1000000000000001</v>
      </c>
      <c r="X165" s="299">
        <v>0.3</v>
      </c>
      <c r="Y165" s="299">
        <v>0.8</v>
      </c>
      <c r="Z165" s="304">
        <v>14.1</v>
      </c>
      <c r="AA165" s="293" t="s">
        <v>309</v>
      </c>
      <c r="AB165" s="310">
        <v>110</v>
      </c>
      <c r="AC165" s="294"/>
      <c r="AD165" s="295" t="str">
        <f>IF(COUNTA(B165:AA165)&lt;21,"x","")</f>
        <v/>
      </c>
    </row>
    <row r="166" spans="1:38" s="296" customFormat="1" ht="17.25" customHeight="1" x14ac:dyDescent="0.2">
      <c r="A166" s="727" t="s">
        <v>529</v>
      </c>
      <c r="B166" s="297" t="s">
        <v>186</v>
      </c>
      <c r="C166" s="298">
        <v>860</v>
      </c>
      <c r="D166" s="299">
        <v>4.2</v>
      </c>
      <c r="E166" s="299">
        <v>7.4</v>
      </c>
      <c r="F166" s="300">
        <v>54</v>
      </c>
      <c r="G166" s="301">
        <v>0.4</v>
      </c>
      <c r="H166" s="302">
        <v>91</v>
      </c>
      <c r="I166" s="303">
        <f t="shared" si="27"/>
        <v>-6</v>
      </c>
      <c r="J166" s="302"/>
      <c r="K166" s="302">
        <v>400</v>
      </c>
      <c r="L166" s="302">
        <v>709</v>
      </c>
      <c r="M166" s="302">
        <f t="shared" ref="M166:M198" si="28">IF(AND(U166&lt;&gt;"",F166&lt;&gt;"",L166&lt;&gt;"",R166&lt;&gt;""),1000-F166-L166-R166-U166,"Fehler")</f>
        <v>151</v>
      </c>
      <c r="N166" s="302">
        <v>0</v>
      </c>
      <c r="O166" s="336">
        <v>0</v>
      </c>
      <c r="P166" s="302">
        <v>10</v>
      </c>
      <c r="Q166" s="302">
        <f t="shared" si="19"/>
        <v>10</v>
      </c>
      <c r="R166" s="302">
        <v>16</v>
      </c>
      <c r="S166" s="302">
        <v>380</v>
      </c>
      <c r="T166" s="302"/>
      <c r="U166" s="302">
        <v>70</v>
      </c>
      <c r="V166" s="299">
        <v>4.7</v>
      </c>
      <c r="W166" s="299">
        <v>1.6</v>
      </c>
      <c r="X166" s="299">
        <v>0.7</v>
      </c>
      <c r="Y166" s="299">
        <v>1.8</v>
      </c>
      <c r="Z166" s="304">
        <v>18.899999999999999</v>
      </c>
      <c r="AA166" s="293" t="s">
        <v>309</v>
      </c>
      <c r="AB166" s="310" t="s">
        <v>309</v>
      </c>
      <c r="AC166" s="294"/>
      <c r="AD166" s="295"/>
    </row>
    <row r="167" spans="1:38" s="296" customFormat="1" ht="17.25" customHeight="1" x14ac:dyDescent="0.2">
      <c r="A167" s="727" t="s">
        <v>529</v>
      </c>
      <c r="B167" s="297" t="s">
        <v>135</v>
      </c>
      <c r="C167" s="298">
        <v>860</v>
      </c>
      <c r="D167" s="299">
        <v>3.66</v>
      </c>
      <c r="E167" s="299">
        <v>6.65</v>
      </c>
      <c r="F167" s="300">
        <v>36</v>
      </c>
      <c r="G167" s="301">
        <v>0.4</v>
      </c>
      <c r="H167" s="302">
        <f t="shared" ref="H167:H198" si="29">ROUND((11.93-(6.82*G167))*E167+1.03*G167*F167,0)</f>
        <v>76</v>
      </c>
      <c r="I167" s="303">
        <f t="shared" si="27"/>
        <v>-6</v>
      </c>
      <c r="J167" s="302"/>
      <c r="K167" s="302">
        <f>1.1*S167</f>
        <v>484.00000000000006</v>
      </c>
      <c r="L167" s="302">
        <f>1.8*S167</f>
        <v>792</v>
      </c>
      <c r="M167" s="302">
        <f t="shared" si="28"/>
        <v>91</v>
      </c>
      <c r="N167" s="302">
        <v>10</v>
      </c>
      <c r="O167" s="336">
        <v>0.15</v>
      </c>
      <c r="P167" s="302">
        <v>14</v>
      </c>
      <c r="Q167" s="302">
        <f t="shared" si="19"/>
        <v>23.984999999999999</v>
      </c>
      <c r="R167" s="302">
        <v>15</v>
      </c>
      <c r="S167" s="302">
        <v>440</v>
      </c>
      <c r="T167" s="302"/>
      <c r="U167" s="302">
        <v>66</v>
      </c>
      <c r="V167" s="299">
        <v>4</v>
      </c>
      <c r="W167" s="299">
        <v>1.4</v>
      </c>
      <c r="X167" s="299">
        <v>2</v>
      </c>
      <c r="Y167" s="299">
        <v>1</v>
      </c>
      <c r="Z167" s="304">
        <v>21</v>
      </c>
      <c r="AA167" s="293" t="s">
        <v>309</v>
      </c>
      <c r="AB167" s="310">
        <v>115</v>
      </c>
      <c r="AC167" s="294"/>
      <c r="AD167" s="295" t="str">
        <f>IF(COUNTA(B167:AA167)&lt;21,"x","")</f>
        <v/>
      </c>
    </row>
    <row r="168" spans="1:38" s="296" customFormat="1" ht="17.25" customHeight="1" x14ac:dyDescent="0.2">
      <c r="A168" s="727" t="s">
        <v>529</v>
      </c>
      <c r="B168" s="297" t="s">
        <v>436</v>
      </c>
      <c r="C168" s="298">
        <v>880</v>
      </c>
      <c r="D168" s="299">
        <v>5.32</v>
      </c>
      <c r="E168" s="299">
        <v>9.16</v>
      </c>
      <c r="F168" s="300">
        <v>91</v>
      </c>
      <c r="G168" s="301">
        <v>0.2</v>
      </c>
      <c r="H168" s="302">
        <f t="shared" si="29"/>
        <v>116</v>
      </c>
      <c r="I168" s="303">
        <f t="shared" si="27"/>
        <v>-4</v>
      </c>
      <c r="J168" s="302"/>
      <c r="K168" s="302">
        <v>350</v>
      </c>
      <c r="L168" s="302">
        <v>581</v>
      </c>
      <c r="M168" s="302">
        <f t="shared" si="28"/>
        <v>241</v>
      </c>
      <c r="N168" s="302">
        <v>0</v>
      </c>
      <c r="O168" s="336">
        <v>0</v>
      </c>
      <c r="P168" s="302">
        <v>120</v>
      </c>
      <c r="Q168" s="302">
        <f t="shared" si="19"/>
        <v>120</v>
      </c>
      <c r="R168" s="302">
        <v>19</v>
      </c>
      <c r="S168" s="302">
        <v>299</v>
      </c>
      <c r="T168" s="302"/>
      <c r="U168" s="302">
        <v>68</v>
      </c>
      <c r="V168" s="299">
        <v>4.7</v>
      </c>
      <c r="W168" s="299">
        <v>2.2999999999999998</v>
      </c>
      <c r="X168" s="299">
        <v>0.2</v>
      </c>
      <c r="Y168" s="299">
        <v>1.9</v>
      </c>
      <c r="Z168" s="304">
        <v>19.600000000000001</v>
      </c>
      <c r="AA168" s="293" t="s">
        <v>309</v>
      </c>
      <c r="AB168" s="310">
        <f>14.01*Z168+3.5</f>
        <v>278.096</v>
      </c>
      <c r="AC168" s="294"/>
      <c r="AD168" s="295" t="str">
        <f>IF(COUNTA(B168:AA168)&lt;21,"x","")</f>
        <v/>
      </c>
    </row>
    <row r="169" spans="1:38" s="296" customFormat="1" ht="17.25" customHeight="1" x14ac:dyDescent="0.2">
      <c r="A169" s="727" t="s">
        <v>529</v>
      </c>
      <c r="B169" s="297" t="s">
        <v>437</v>
      </c>
      <c r="C169" s="298">
        <v>880</v>
      </c>
      <c r="D169" s="299">
        <v>4.95</v>
      </c>
      <c r="E169" s="299">
        <v>8.61</v>
      </c>
      <c r="F169" s="300">
        <v>84</v>
      </c>
      <c r="G169" s="301">
        <v>0.2</v>
      </c>
      <c r="H169" s="302">
        <f t="shared" si="29"/>
        <v>108</v>
      </c>
      <c r="I169" s="303">
        <f t="shared" si="27"/>
        <v>-4</v>
      </c>
      <c r="J169" s="302"/>
      <c r="K169" s="302">
        <v>372</v>
      </c>
      <c r="L169" s="302">
        <v>596</v>
      </c>
      <c r="M169" s="302">
        <f t="shared" si="28"/>
        <v>236</v>
      </c>
      <c r="N169" s="302">
        <v>0</v>
      </c>
      <c r="O169" s="336">
        <v>0</v>
      </c>
      <c r="P169" s="302">
        <v>100</v>
      </c>
      <c r="Q169" s="302">
        <f t="shared" si="19"/>
        <v>100</v>
      </c>
      <c r="R169" s="302">
        <v>17</v>
      </c>
      <c r="S169" s="302">
        <v>318</v>
      </c>
      <c r="T169" s="302"/>
      <c r="U169" s="302">
        <v>67</v>
      </c>
      <c r="V169" s="299">
        <v>4.9000000000000004</v>
      </c>
      <c r="W169" s="299">
        <v>2.4</v>
      </c>
      <c r="X169" s="299">
        <v>0.1</v>
      </c>
      <c r="Y169" s="299">
        <v>2.1</v>
      </c>
      <c r="Z169" s="304">
        <v>14.6</v>
      </c>
      <c r="AA169" s="293" t="s">
        <v>309</v>
      </c>
      <c r="AB169" s="310">
        <f t="shared" ref="AB169:AB194" si="30">14.01*Z169+3.5</f>
        <v>208.04599999999999</v>
      </c>
      <c r="AC169" s="294"/>
      <c r="AD169" s="295" t="str">
        <f>IF(COUNTA(B169:AA169)&lt;21,"x","")</f>
        <v/>
      </c>
    </row>
    <row r="170" spans="1:38" s="296" customFormat="1" ht="17.25" customHeight="1" x14ac:dyDescent="0.2">
      <c r="A170" s="727" t="s">
        <v>529</v>
      </c>
      <c r="B170" s="297" t="s">
        <v>438</v>
      </c>
      <c r="C170" s="298">
        <v>880</v>
      </c>
      <c r="D170" s="299">
        <v>4.5599999999999996</v>
      </c>
      <c r="E170" s="299">
        <v>8</v>
      </c>
      <c r="F170" s="300">
        <v>74</v>
      </c>
      <c r="G170" s="301">
        <v>0.2</v>
      </c>
      <c r="H170" s="302">
        <f t="shared" si="29"/>
        <v>100</v>
      </c>
      <c r="I170" s="303">
        <f t="shared" si="27"/>
        <v>-4</v>
      </c>
      <c r="J170" s="302"/>
      <c r="K170" s="302">
        <v>394</v>
      </c>
      <c r="L170" s="302">
        <v>615</v>
      </c>
      <c r="M170" s="302">
        <f t="shared" si="28"/>
        <v>226</v>
      </c>
      <c r="N170" s="302">
        <v>0</v>
      </c>
      <c r="O170" s="336">
        <v>0</v>
      </c>
      <c r="P170" s="302">
        <v>80</v>
      </c>
      <c r="Q170" s="302">
        <f t="shared" si="19"/>
        <v>80</v>
      </c>
      <c r="R170" s="302">
        <v>14</v>
      </c>
      <c r="S170" s="302">
        <v>337</v>
      </c>
      <c r="T170" s="302"/>
      <c r="U170" s="302">
        <v>71</v>
      </c>
      <c r="V170" s="299">
        <v>4.4000000000000004</v>
      </c>
      <c r="W170" s="299">
        <v>2.1</v>
      </c>
      <c r="X170" s="299">
        <v>0.2</v>
      </c>
      <c r="Y170" s="299">
        <v>1.4</v>
      </c>
      <c r="Z170" s="304">
        <v>16.899999999999999</v>
      </c>
      <c r="AA170" s="293" t="s">
        <v>309</v>
      </c>
      <c r="AB170" s="310">
        <f t="shared" si="30"/>
        <v>240.26899999999998</v>
      </c>
      <c r="AC170" s="294"/>
      <c r="AD170" s="295" t="str">
        <f>IF(COUNTA(B170:AA170)&lt;21,"x","")</f>
        <v/>
      </c>
    </row>
    <row r="171" spans="1:38" s="296" customFormat="1" ht="17.25" customHeight="1" x14ac:dyDescent="0.2">
      <c r="A171" s="727" t="s">
        <v>529</v>
      </c>
      <c r="B171" s="297" t="s">
        <v>439</v>
      </c>
      <c r="C171" s="298">
        <v>880</v>
      </c>
      <c r="D171" s="299">
        <v>5.76</v>
      </c>
      <c r="E171" s="299">
        <v>9.74</v>
      </c>
      <c r="F171" s="300">
        <v>125</v>
      </c>
      <c r="G171" s="301">
        <v>0.2</v>
      </c>
      <c r="H171" s="302">
        <f t="shared" si="29"/>
        <v>129</v>
      </c>
      <c r="I171" s="303">
        <f t="shared" si="27"/>
        <v>-1</v>
      </c>
      <c r="J171" s="302"/>
      <c r="K171" s="302">
        <v>316</v>
      </c>
      <c r="L171" s="302">
        <v>528</v>
      </c>
      <c r="M171" s="302">
        <f t="shared" si="28"/>
        <v>241</v>
      </c>
      <c r="N171" s="302">
        <v>0</v>
      </c>
      <c r="O171" s="336">
        <v>0</v>
      </c>
      <c r="P171" s="302">
        <v>120</v>
      </c>
      <c r="Q171" s="302">
        <f t="shared" si="19"/>
        <v>120</v>
      </c>
      <c r="R171" s="302">
        <v>24</v>
      </c>
      <c r="S171" s="302">
        <v>261</v>
      </c>
      <c r="T171" s="302"/>
      <c r="U171" s="302">
        <v>82</v>
      </c>
      <c r="V171" s="299">
        <v>6.3</v>
      </c>
      <c r="W171" s="299">
        <v>3.2</v>
      </c>
      <c r="X171" s="299">
        <v>0.3</v>
      </c>
      <c r="Y171" s="299">
        <v>2.5</v>
      </c>
      <c r="Z171" s="304">
        <v>21.9</v>
      </c>
      <c r="AA171" s="293"/>
      <c r="AB171" s="310">
        <f t="shared" si="30"/>
        <v>310.31899999999996</v>
      </c>
      <c r="AC171" s="294"/>
      <c r="AD171" s="295"/>
    </row>
    <row r="172" spans="1:38" s="296" customFormat="1" ht="17.25" customHeight="1" x14ac:dyDescent="0.2">
      <c r="A172" s="727" t="s">
        <v>529</v>
      </c>
      <c r="B172" s="297" t="s">
        <v>440</v>
      </c>
      <c r="C172" s="298">
        <v>880</v>
      </c>
      <c r="D172" s="299">
        <v>5.38</v>
      </c>
      <c r="E172" s="299">
        <v>9.1999999999999993</v>
      </c>
      <c r="F172" s="300">
        <v>119</v>
      </c>
      <c r="G172" s="301">
        <v>0.2</v>
      </c>
      <c r="H172" s="302">
        <f t="shared" si="29"/>
        <v>122</v>
      </c>
      <c r="I172" s="303">
        <f t="shared" si="27"/>
        <v>0</v>
      </c>
      <c r="J172" s="302"/>
      <c r="K172" s="302">
        <v>325</v>
      </c>
      <c r="L172" s="302">
        <v>537</v>
      </c>
      <c r="M172" s="302">
        <f t="shared" si="28"/>
        <v>229</v>
      </c>
      <c r="N172" s="302">
        <v>0</v>
      </c>
      <c r="O172" s="336">
        <v>0</v>
      </c>
      <c r="P172" s="302">
        <v>100</v>
      </c>
      <c r="Q172" s="302">
        <f t="shared" si="19"/>
        <v>100</v>
      </c>
      <c r="R172" s="302">
        <v>24</v>
      </c>
      <c r="S172" s="302">
        <v>267</v>
      </c>
      <c r="T172" s="302"/>
      <c r="U172" s="302">
        <v>91</v>
      </c>
      <c r="V172" s="299">
        <v>7.9</v>
      </c>
      <c r="W172" s="299">
        <v>2.9</v>
      </c>
      <c r="X172" s="299">
        <v>0.4</v>
      </c>
      <c r="Y172" s="299">
        <v>2.4</v>
      </c>
      <c r="Z172" s="304">
        <v>19.8</v>
      </c>
      <c r="AA172" s="293"/>
      <c r="AB172" s="310">
        <f t="shared" si="30"/>
        <v>280.89800000000002</v>
      </c>
      <c r="AC172" s="294"/>
      <c r="AD172" s="295"/>
    </row>
    <row r="173" spans="1:38" s="296" customFormat="1" ht="17.25" customHeight="1" x14ac:dyDescent="0.2">
      <c r="A173" s="727" t="s">
        <v>529</v>
      </c>
      <c r="B173" s="297" t="s">
        <v>441</v>
      </c>
      <c r="C173" s="298">
        <v>880</v>
      </c>
      <c r="D173" s="299">
        <v>5</v>
      </c>
      <c r="E173" s="299">
        <v>8.6300000000000008</v>
      </c>
      <c r="F173" s="300">
        <v>110</v>
      </c>
      <c r="G173" s="301">
        <v>0.2</v>
      </c>
      <c r="H173" s="302">
        <f t="shared" si="29"/>
        <v>114</v>
      </c>
      <c r="I173" s="303">
        <f t="shared" si="27"/>
        <v>-1</v>
      </c>
      <c r="J173" s="302"/>
      <c r="K173" s="302">
        <v>358</v>
      </c>
      <c r="L173" s="302">
        <v>571</v>
      </c>
      <c r="M173" s="302">
        <f t="shared" si="28"/>
        <v>216</v>
      </c>
      <c r="N173" s="302">
        <v>0</v>
      </c>
      <c r="O173" s="336">
        <v>0</v>
      </c>
      <c r="P173" s="302">
        <v>80</v>
      </c>
      <c r="Q173" s="302">
        <f t="shared" si="19"/>
        <v>80</v>
      </c>
      <c r="R173" s="302">
        <v>20</v>
      </c>
      <c r="S173" s="302">
        <v>293</v>
      </c>
      <c r="T173" s="302"/>
      <c r="U173" s="302">
        <v>83</v>
      </c>
      <c r="V173" s="299">
        <v>7.9</v>
      </c>
      <c r="W173" s="299">
        <v>2.9</v>
      </c>
      <c r="X173" s="299">
        <v>0.4</v>
      </c>
      <c r="Y173" s="299">
        <v>2.4</v>
      </c>
      <c r="Z173" s="304">
        <v>19.8</v>
      </c>
      <c r="AA173" s="293"/>
      <c r="AB173" s="310">
        <f t="shared" si="30"/>
        <v>280.89800000000002</v>
      </c>
      <c r="AC173" s="294"/>
      <c r="AD173" s="295"/>
    </row>
    <row r="174" spans="1:38" s="296" customFormat="1" ht="17.25" customHeight="1" x14ac:dyDescent="0.2">
      <c r="A174" s="727" t="s">
        <v>529</v>
      </c>
      <c r="B174" s="297" t="s">
        <v>442</v>
      </c>
      <c r="C174" s="298">
        <v>880</v>
      </c>
      <c r="D174" s="299">
        <v>5.89</v>
      </c>
      <c r="E174" s="299">
        <v>9.92</v>
      </c>
      <c r="F174" s="300">
        <v>140</v>
      </c>
      <c r="G174" s="301">
        <v>0.2</v>
      </c>
      <c r="H174" s="302">
        <f t="shared" si="29"/>
        <v>134</v>
      </c>
      <c r="I174" s="303" t="str">
        <f t="shared" si="27"/>
        <v>+1</v>
      </c>
      <c r="J174" s="302"/>
      <c r="K174" s="302">
        <v>296</v>
      </c>
      <c r="L174" s="302">
        <v>487</v>
      </c>
      <c r="M174" s="302">
        <f t="shared" si="28"/>
        <v>255</v>
      </c>
      <c r="N174" s="302">
        <v>0</v>
      </c>
      <c r="O174" s="336">
        <v>0</v>
      </c>
      <c r="P174" s="302">
        <v>110</v>
      </c>
      <c r="Q174" s="302">
        <f t="shared" si="19"/>
        <v>110</v>
      </c>
      <c r="R174" s="302">
        <v>27</v>
      </c>
      <c r="S174" s="302">
        <v>243</v>
      </c>
      <c r="T174" s="302"/>
      <c r="U174" s="302">
        <v>91</v>
      </c>
      <c r="V174" s="299">
        <v>7.5</v>
      </c>
      <c r="W174" s="299">
        <v>3.9</v>
      </c>
      <c r="X174" s="299">
        <v>0.1</v>
      </c>
      <c r="Y174" s="299">
        <v>2.9</v>
      </c>
      <c r="Z174" s="304">
        <v>24.7</v>
      </c>
      <c r="AA174" s="293"/>
      <c r="AB174" s="310">
        <f t="shared" si="30"/>
        <v>349.54699999999997</v>
      </c>
      <c r="AC174" s="294"/>
      <c r="AD174" s="295"/>
    </row>
    <row r="175" spans="1:38" s="296" customFormat="1" ht="17.25" customHeight="1" x14ac:dyDescent="0.2">
      <c r="A175" s="727" t="s">
        <v>529</v>
      </c>
      <c r="B175" s="297" t="s">
        <v>443</v>
      </c>
      <c r="C175" s="298">
        <v>880</v>
      </c>
      <c r="D175" s="299">
        <v>5.45</v>
      </c>
      <c r="E175" s="299">
        <v>9.2899999999999991</v>
      </c>
      <c r="F175" s="300">
        <v>134</v>
      </c>
      <c r="G175" s="301">
        <v>0.2</v>
      </c>
      <c r="H175" s="302">
        <f t="shared" si="29"/>
        <v>126</v>
      </c>
      <c r="I175" s="303" t="str">
        <f t="shared" si="27"/>
        <v>+1</v>
      </c>
      <c r="J175" s="302"/>
      <c r="K175" s="302">
        <v>329</v>
      </c>
      <c r="L175" s="302">
        <v>563</v>
      </c>
      <c r="M175" s="302">
        <f t="shared" si="28"/>
        <v>186</v>
      </c>
      <c r="N175" s="302">
        <v>0</v>
      </c>
      <c r="O175" s="336">
        <v>0</v>
      </c>
      <c r="P175" s="302">
        <v>100</v>
      </c>
      <c r="Q175" s="302">
        <f t="shared" si="19"/>
        <v>100</v>
      </c>
      <c r="R175" s="302">
        <v>26</v>
      </c>
      <c r="S175" s="302">
        <v>262</v>
      </c>
      <c r="T175" s="302"/>
      <c r="U175" s="302">
        <v>91</v>
      </c>
      <c r="V175" s="299">
        <v>5.6</v>
      </c>
      <c r="W175" s="299">
        <v>3.3</v>
      </c>
      <c r="X175" s="299">
        <v>0.2</v>
      </c>
      <c r="Y175" s="299">
        <v>2</v>
      </c>
      <c r="Z175" s="304">
        <v>26.7</v>
      </c>
      <c r="AA175" s="293"/>
      <c r="AB175" s="310">
        <f t="shared" si="30"/>
        <v>377.56700000000001</v>
      </c>
      <c r="AC175" s="294"/>
      <c r="AD175" s="295"/>
    </row>
    <row r="176" spans="1:38" s="296" customFormat="1" ht="17.25" customHeight="1" x14ac:dyDescent="0.2">
      <c r="A176" s="727" t="s">
        <v>529</v>
      </c>
      <c r="B176" s="297" t="s">
        <v>464</v>
      </c>
      <c r="C176" s="298">
        <v>880</v>
      </c>
      <c r="D176" s="299">
        <v>4.88</v>
      </c>
      <c r="E176" s="299">
        <v>8.49</v>
      </c>
      <c r="F176" s="300">
        <v>107</v>
      </c>
      <c r="G176" s="301">
        <v>0.2</v>
      </c>
      <c r="H176" s="302">
        <f t="shared" si="29"/>
        <v>112</v>
      </c>
      <c r="I176" s="303">
        <f t="shared" si="27"/>
        <v>-1</v>
      </c>
      <c r="J176" s="302"/>
      <c r="K176" s="302">
        <v>387</v>
      </c>
      <c r="L176" s="302">
        <v>622</v>
      </c>
      <c r="M176" s="302">
        <f t="shared" si="28"/>
        <v>155</v>
      </c>
      <c r="N176" s="302">
        <v>0</v>
      </c>
      <c r="O176" s="336">
        <v>0</v>
      </c>
      <c r="P176" s="302">
        <v>80</v>
      </c>
      <c r="Q176" s="302">
        <f t="shared" si="19"/>
        <v>80</v>
      </c>
      <c r="R176" s="302">
        <v>18</v>
      </c>
      <c r="S176" s="302">
        <v>332</v>
      </c>
      <c r="T176" s="302"/>
      <c r="U176" s="302">
        <v>98</v>
      </c>
      <c r="V176" s="299">
        <v>5.6</v>
      </c>
      <c r="W176" s="299">
        <v>3.3</v>
      </c>
      <c r="X176" s="299">
        <v>0.2</v>
      </c>
      <c r="Y176" s="299">
        <v>2</v>
      </c>
      <c r="Z176" s="304">
        <v>26.7</v>
      </c>
      <c r="AA176" s="293"/>
      <c r="AB176" s="310">
        <f t="shared" si="30"/>
        <v>377.56700000000001</v>
      </c>
      <c r="AC176" s="294"/>
      <c r="AD176" s="295"/>
    </row>
    <row r="177" spans="1:30" s="296" customFormat="1" ht="17.25" customHeight="1" x14ac:dyDescent="0.2">
      <c r="A177" s="727" t="s">
        <v>529</v>
      </c>
      <c r="B177" s="297" t="s">
        <v>465</v>
      </c>
      <c r="C177" s="298">
        <v>880</v>
      </c>
      <c r="D177" s="299">
        <v>5.93</v>
      </c>
      <c r="E177" s="299">
        <v>10.029999999999999</v>
      </c>
      <c r="F177" s="300">
        <v>122</v>
      </c>
      <c r="G177" s="301">
        <v>0.2</v>
      </c>
      <c r="H177" s="302">
        <f t="shared" si="29"/>
        <v>131</v>
      </c>
      <c r="I177" s="303">
        <f t="shared" si="27"/>
        <v>-1</v>
      </c>
      <c r="J177" s="302"/>
      <c r="K177" s="302">
        <v>301</v>
      </c>
      <c r="L177" s="302">
        <v>524</v>
      </c>
      <c r="M177" s="302">
        <f t="shared" si="28"/>
        <v>248</v>
      </c>
      <c r="N177" s="302">
        <v>0</v>
      </c>
      <c r="O177" s="336">
        <v>0</v>
      </c>
      <c r="P177" s="302">
        <v>140</v>
      </c>
      <c r="Q177" s="302">
        <f t="shared" si="19"/>
        <v>140</v>
      </c>
      <c r="R177" s="302">
        <v>24</v>
      </c>
      <c r="S177" s="302">
        <v>257</v>
      </c>
      <c r="T177" s="302"/>
      <c r="U177" s="302">
        <v>82</v>
      </c>
      <c r="V177" s="299">
        <v>3.9</v>
      </c>
      <c r="W177" s="299">
        <v>2.7</v>
      </c>
      <c r="X177" s="299">
        <v>0.3</v>
      </c>
      <c r="Y177" s="299">
        <v>1.8</v>
      </c>
      <c r="Z177" s="304">
        <v>17</v>
      </c>
      <c r="AA177" s="293"/>
      <c r="AB177" s="310">
        <f t="shared" si="30"/>
        <v>241.67</v>
      </c>
      <c r="AC177" s="294"/>
      <c r="AD177" s="295"/>
    </row>
    <row r="178" spans="1:30" s="296" customFormat="1" ht="17.25" customHeight="1" x14ac:dyDescent="0.2">
      <c r="A178" s="727" t="s">
        <v>529</v>
      </c>
      <c r="B178" s="297" t="s">
        <v>466</v>
      </c>
      <c r="C178" s="298">
        <v>880</v>
      </c>
      <c r="D178" s="299">
        <v>5.3</v>
      </c>
      <c r="E178" s="299">
        <v>9.11</v>
      </c>
      <c r="F178" s="300">
        <v>94</v>
      </c>
      <c r="G178" s="301">
        <v>0.2</v>
      </c>
      <c r="H178" s="302">
        <f t="shared" si="29"/>
        <v>116</v>
      </c>
      <c r="I178" s="303">
        <f t="shared" si="27"/>
        <v>-4</v>
      </c>
      <c r="J178" s="302"/>
      <c r="K178" s="302">
        <v>346</v>
      </c>
      <c r="L178" s="302">
        <v>588</v>
      </c>
      <c r="M178" s="302">
        <f t="shared" si="28"/>
        <v>228</v>
      </c>
      <c r="N178" s="302">
        <v>0</v>
      </c>
      <c r="O178" s="336">
        <v>0</v>
      </c>
      <c r="P178" s="302">
        <v>120</v>
      </c>
      <c r="Q178" s="302">
        <f t="shared" si="19"/>
        <v>120</v>
      </c>
      <c r="R178" s="302">
        <v>19</v>
      </c>
      <c r="S178" s="302">
        <v>301</v>
      </c>
      <c r="T178" s="302"/>
      <c r="U178" s="302">
        <v>71</v>
      </c>
      <c r="V178" s="299">
        <v>4</v>
      </c>
      <c r="W178" s="299">
        <v>23.6</v>
      </c>
      <c r="X178" s="299">
        <v>0.2</v>
      </c>
      <c r="Y178" s="299">
        <v>1.4</v>
      </c>
      <c r="Z178" s="304">
        <v>21.4</v>
      </c>
      <c r="AA178" s="293"/>
      <c r="AB178" s="310">
        <f t="shared" si="30"/>
        <v>303.31399999999996</v>
      </c>
      <c r="AC178" s="294"/>
      <c r="AD178" s="295"/>
    </row>
    <row r="179" spans="1:30" s="296" customFormat="1" ht="17.25" customHeight="1" x14ac:dyDescent="0.2">
      <c r="A179" s="727" t="s">
        <v>529</v>
      </c>
      <c r="B179" s="297" t="s">
        <v>467</v>
      </c>
      <c r="C179" s="298">
        <v>880</v>
      </c>
      <c r="D179" s="299">
        <v>4.8</v>
      </c>
      <c r="E179" s="299">
        <v>8.3800000000000008</v>
      </c>
      <c r="F179" s="300">
        <v>77</v>
      </c>
      <c r="G179" s="301">
        <v>0.2</v>
      </c>
      <c r="H179" s="302">
        <f t="shared" si="29"/>
        <v>104</v>
      </c>
      <c r="I179" s="303">
        <f t="shared" si="27"/>
        <v>-4</v>
      </c>
      <c r="J179" s="302"/>
      <c r="K179" s="302">
        <v>380</v>
      </c>
      <c r="L179" s="302">
        <v>608</v>
      </c>
      <c r="M179" s="302">
        <f t="shared" si="28"/>
        <v>232</v>
      </c>
      <c r="N179" s="302">
        <v>0</v>
      </c>
      <c r="O179" s="336">
        <v>0</v>
      </c>
      <c r="P179" s="302">
        <v>100</v>
      </c>
      <c r="Q179" s="302">
        <f t="shared" si="19"/>
        <v>100</v>
      </c>
      <c r="R179" s="302">
        <v>16</v>
      </c>
      <c r="S179" s="302">
        <v>330</v>
      </c>
      <c r="T179" s="302"/>
      <c r="U179" s="302">
        <v>67</v>
      </c>
      <c r="V179" s="299">
        <v>4.3</v>
      </c>
      <c r="W179" s="299">
        <v>1.9</v>
      </c>
      <c r="X179" s="299">
        <v>0.2</v>
      </c>
      <c r="Y179" s="299">
        <v>1.3</v>
      </c>
      <c r="Z179" s="304">
        <v>17.899999999999999</v>
      </c>
      <c r="AA179" s="293"/>
      <c r="AB179" s="310">
        <f t="shared" si="30"/>
        <v>254.27899999999997</v>
      </c>
      <c r="AC179" s="294"/>
      <c r="AD179" s="295"/>
    </row>
    <row r="180" spans="1:30" s="296" customFormat="1" ht="17.25" customHeight="1" x14ac:dyDescent="0.2">
      <c r="A180" s="727" t="s">
        <v>529</v>
      </c>
      <c r="B180" s="297" t="s">
        <v>468</v>
      </c>
      <c r="C180" s="298">
        <v>880</v>
      </c>
      <c r="D180" s="299">
        <v>6.08</v>
      </c>
      <c r="E180" s="299">
        <v>10.210000000000001</v>
      </c>
      <c r="F180" s="300">
        <v>123</v>
      </c>
      <c r="G180" s="301">
        <v>0.2</v>
      </c>
      <c r="H180" s="302">
        <f t="shared" si="29"/>
        <v>133</v>
      </c>
      <c r="I180" s="303">
        <f t="shared" si="27"/>
        <v>-2</v>
      </c>
      <c r="J180" s="302"/>
      <c r="K180" s="302">
        <v>304</v>
      </c>
      <c r="L180" s="302">
        <v>545</v>
      </c>
      <c r="M180" s="302">
        <f t="shared" si="28"/>
        <v>228</v>
      </c>
      <c r="N180" s="302">
        <v>0</v>
      </c>
      <c r="O180" s="336">
        <v>0</v>
      </c>
      <c r="P180" s="302">
        <v>140</v>
      </c>
      <c r="Q180" s="302">
        <f t="shared" si="19"/>
        <v>140</v>
      </c>
      <c r="R180" s="302">
        <v>25</v>
      </c>
      <c r="S180" s="302">
        <v>250</v>
      </c>
      <c r="T180" s="302"/>
      <c r="U180" s="302">
        <v>79</v>
      </c>
      <c r="V180" s="299">
        <v>5.2</v>
      </c>
      <c r="W180" s="299">
        <v>3.2</v>
      </c>
      <c r="X180" s="299">
        <v>0.3</v>
      </c>
      <c r="Y180" s="299">
        <v>2</v>
      </c>
      <c r="Z180" s="304">
        <v>21.4</v>
      </c>
      <c r="AA180" s="293"/>
      <c r="AB180" s="310">
        <f t="shared" si="30"/>
        <v>303.31399999999996</v>
      </c>
      <c r="AC180" s="294"/>
      <c r="AD180" s="295"/>
    </row>
    <row r="181" spans="1:30" s="296" customFormat="1" ht="17.25" customHeight="1" x14ac:dyDescent="0.2">
      <c r="A181" s="727" t="s">
        <v>529</v>
      </c>
      <c r="B181" s="297" t="s">
        <v>469</v>
      </c>
      <c r="C181" s="298">
        <v>880</v>
      </c>
      <c r="D181" s="299">
        <v>5.66</v>
      </c>
      <c r="E181" s="299">
        <v>9.6</v>
      </c>
      <c r="F181" s="300">
        <v>129</v>
      </c>
      <c r="G181" s="301">
        <v>0.2</v>
      </c>
      <c r="H181" s="302">
        <f t="shared" si="29"/>
        <v>128</v>
      </c>
      <c r="I181" s="303" t="str">
        <f t="shared" si="27"/>
        <v>+0</v>
      </c>
      <c r="J181" s="302"/>
      <c r="K181" s="302">
        <v>320</v>
      </c>
      <c r="L181" s="302">
        <v>556</v>
      </c>
      <c r="M181" s="302">
        <f t="shared" si="28"/>
        <v>209</v>
      </c>
      <c r="N181" s="302">
        <v>0</v>
      </c>
      <c r="O181" s="336">
        <v>0</v>
      </c>
      <c r="P181" s="302">
        <v>120</v>
      </c>
      <c r="Q181" s="302">
        <f t="shared" si="19"/>
        <v>120</v>
      </c>
      <c r="R181" s="302">
        <v>23</v>
      </c>
      <c r="S181" s="302">
        <v>276</v>
      </c>
      <c r="T181" s="302"/>
      <c r="U181" s="302">
        <v>83</v>
      </c>
      <c r="V181" s="299">
        <v>5.8</v>
      </c>
      <c r="W181" s="299">
        <v>2.7</v>
      </c>
      <c r="X181" s="299">
        <v>0.3</v>
      </c>
      <c r="Y181" s="299">
        <v>2</v>
      </c>
      <c r="Z181" s="304">
        <v>21.4</v>
      </c>
      <c r="AA181" s="293"/>
      <c r="AB181" s="310">
        <f t="shared" si="30"/>
        <v>303.31399999999996</v>
      </c>
      <c r="AC181" s="294"/>
      <c r="AD181" s="295"/>
    </row>
    <row r="182" spans="1:30" s="296" customFormat="1" ht="17.25" customHeight="1" x14ac:dyDescent="0.2">
      <c r="A182" s="727" t="s">
        <v>529</v>
      </c>
      <c r="B182" s="297" t="s">
        <v>470</v>
      </c>
      <c r="C182" s="298">
        <v>880</v>
      </c>
      <c r="D182" s="299">
        <v>5.26</v>
      </c>
      <c r="E182" s="299">
        <v>8.99</v>
      </c>
      <c r="F182" s="300">
        <v>124</v>
      </c>
      <c r="G182" s="301">
        <v>0.2</v>
      </c>
      <c r="H182" s="302">
        <f t="shared" si="29"/>
        <v>121</v>
      </c>
      <c r="I182" s="303" t="str">
        <f t="shared" si="27"/>
        <v>+0</v>
      </c>
      <c r="J182" s="302"/>
      <c r="K182" s="302">
        <v>340</v>
      </c>
      <c r="L182" s="302">
        <v>544</v>
      </c>
      <c r="M182" s="302">
        <f t="shared" si="28"/>
        <v>209</v>
      </c>
      <c r="N182" s="302">
        <v>0</v>
      </c>
      <c r="O182" s="336">
        <v>0</v>
      </c>
      <c r="P182" s="302">
        <v>100</v>
      </c>
      <c r="Q182" s="302">
        <f t="shared" si="19"/>
        <v>100</v>
      </c>
      <c r="R182" s="302">
        <v>23</v>
      </c>
      <c r="S182" s="302">
        <v>276</v>
      </c>
      <c r="T182" s="302"/>
      <c r="U182" s="302">
        <v>100</v>
      </c>
      <c r="V182" s="299">
        <v>4</v>
      </c>
      <c r="W182" s="299">
        <v>3.3</v>
      </c>
      <c r="X182" s="299">
        <v>0.3</v>
      </c>
      <c r="Y182" s="299">
        <v>2</v>
      </c>
      <c r="Z182" s="304">
        <v>21.4</v>
      </c>
      <c r="AA182" s="293"/>
      <c r="AB182" s="310">
        <f t="shared" si="30"/>
        <v>303.31399999999996</v>
      </c>
      <c r="AC182" s="294"/>
      <c r="AD182" s="295"/>
    </row>
    <row r="183" spans="1:30" s="296" customFormat="1" ht="17.25" customHeight="1" x14ac:dyDescent="0.2">
      <c r="A183" s="727" t="s">
        <v>529</v>
      </c>
      <c r="B183" s="297" t="s">
        <v>458</v>
      </c>
      <c r="C183" s="298">
        <v>880</v>
      </c>
      <c r="D183" s="299">
        <v>6.16</v>
      </c>
      <c r="E183" s="299">
        <v>10.3</v>
      </c>
      <c r="F183" s="300">
        <v>146</v>
      </c>
      <c r="G183" s="301">
        <v>0.2</v>
      </c>
      <c r="H183" s="302">
        <f t="shared" si="29"/>
        <v>139</v>
      </c>
      <c r="I183" s="303" t="str">
        <f t="shared" si="27"/>
        <v>+1</v>
      </c>
      <c r="J183" s="302"/>
      <c r="K183" s="302">
        <v>282</v>
      </c>
      <c r="L183" s="302">
        <v>486</v>
      </c>
      <c r="M183" s="302">
        <f t="shared" si="28"/>
        <v>256</v>
      </c>
      <c r="N183" s="302">
        <v>0</v>
      </c>
      <c r="O183" s="336">
        <v>0</v>
      </c>
      <c r="P183" s="302">
        <v>140</v>
      </c>
      <c r="Q183" s="302">
        <f t="shared" si="19"/>
        <v>140</v>
      </c>
      <c r="R183" s="302">
        <v>24</v>
      </c>
      <c r="S183" s="302">
        <v>243</v>
      </c>
      <c r="T183" s="302"/>
      <c r="U183" s="302">
        <v>88</v>
      </c>
      <c r="V183" s="299">
        <v>4</v>
      </c>
      <c r="W183" s="299">
        <v>2.5</v>
      </c>
      <c r="X183" s="299">
        <v>0.2</v>
      </c>
      <c r="Y183" s="299">
        <v>1.3</v>
      </c>
      <c r="Z183" s="304">
        <v>22.9</v>
      </c>
      <c r="AA183" s="293"/>
      <c r="AB183" s="310">
        <f t="shared" si="30"/>
        <v>324.32899999999995</v>
      </c>
      <c r="AC183" s="294"/>
      <c r="AD183" s="295"/>
    </row>
    <row r="184" spans="1:30" s="296" customFormat="1" ht="17.25" customHeight="1" x14ac:dyDescent="0.2">
      <c r="A184" s="727" t="s">
        <v>529</v>
      </c>
      <c r="B184" s="297" t="s">
        <v>459</v>
      </c>
      <c r="C184" s="298">
        <v>880</v>
      </c>
      <c r="D184" s="299">
        <v>5.62</v>
      </c>
      <c r="E184" s="299">
        <v>9.6300000000000008</v>
      </c>
      <c r="F184" s="300">
        <v>100</v>
      </c>
      <c r="G184" s="301">
        <v>0.2</v>
      </c>
      <c r="H184" s="302">
        <f t="shared" si="29"/>
        <v>122</v>
      </c>
      <c r="I184" s="303">
        <f t="shared" si="27"/>
        <v>-4</v>
      </c>
      <c r="J184" s="302"/>
      <c r="K184" s="302">
        <v>335</v>
      </c>
      <c r="L184" s="302">
        <v>577</v>
      </c>
      <c r="M184" s="302">
        <f t="shared" si="28"/>
        <v>236</v>
      </c>
      <c r="N184" s="302">
        <v>0</v>
      </c>
      <c r="O184" s="336">
        <v>0</v>
      </c>
      <c r="P184" s="302">
        <v>120</v>
      </c>
      <c r="Q184" s="302">
        <f t="shared" si="19"/>
        <v>120</v>
      </c>
      <c r="R184" s="302">
        <v>20</v>
      </c>
      <c r="S184" s="302">
        <v>284</v>
      </c>
      <c r="T184" s="302"/>
      <c r="U184" s="302">
        <v>67</v>
      </c>
      <c r="V184" s="299">
        <v>4</v>
      </c>
      <c r="W184" s="299">
        <v>2.5</v>
      </c>
      <c r="X184" s="299">
        <v>0.2</v>
      </c>
      <c r="Y184" s="299">
        <v>1.3</v>
      </c>
      <c r="Z184" s="304">
        <v>22.9</v>
      </c>
      <c r="AA184" s="293"/>
      <c r="AB184" s="310">
        <f t="shared" si="30"/>
        <v>324.32899999999995</v>
      </c>
      <c r="AC184" s="294"/>
      <c r="AD184" s="295"/>
    </row>
    <row r="185" spans="1:30" s="296" customFormat="1" ht="17.25" customHeight="1" x14ac:dyDescent="0.2">
      <c r="A185" s="727" t="s">
        <v>529</v>
      </c>
      <c r="B185" s="297" t="s">
        <v>460</v>
      </c>
      <c r="C185" s="298">
        <v>880</v>
      </c>
      <c r="D185" s="299">
        <v>5.4</v>
      </c>
      <c r="E185" s="299">
        <v>9.2200000000000006</v>
      </c>
      <c r="F185" s="300">
        <v>105</v>
      </c>
      <c r="G185" s="301">
        <v>0.2</v>
      </c>
      <c r="H185" s="302">
        <f t="shared" si="29"/>
        <v>119</v>
      </c>
      <c r="I185" s="303">
        <f t="shared" si="27"/>
        <v>-2</v>
      </c>
      <c r="J185" s="302"/>
      <c r="K185" s="302">
        <v>335</v>
      </c>
      <c r="L185" s="302">
        <v>564</v>
      </c>
      <c r="M185" s="302">
        <f t="shared" si="28"/>
        <v>240</v>
      </c>
      <c r="N185" s="302">
        <v>0</v>
      </c>
      <c r="O185" s="336">
        <v>0</v>
      </c>
      <c r="P185" s="302">
        <v>100</v>
      </c>
      <c r="Q185" s="302">
        <f t="shared" si="19"/>
        <v>100</v>
      </c>
      <c r="R185" s="302">
        <v>19</v>
      </c>
      <c r="S185" s="302">
        <v>284</v>
      </c>
      <c r="T185" s="302"/>
      <c r="U185" s="302">
        <v>72</v>
      </c>
      <c r="V185" s="299">
        <v>4</v>
      </c>
      <c r="W185" s="299">
        <v>2.5</v>
      </c>
      <c r="X185" s="299">
        <v>0.2</v>
      </c>
      <c r="Y185" s="299">
        <v>1.3</v>
      </c>
      <c r="Z185" s="304">
        <v>22.9</v>
      </c>
      <c r="AA185" s="293"/>
      <c r="AB185" s="310">
        <f t="shared" si="30"/>
        <v>324.32899999999995</v>
      </c>
      <c r="AC185" s="294"/>
      <c r="AD185" s="295"/>
    </row>
    <row r="186" spans="1:30" s="296" customFormat="1" ht="17.25" customHeight="1" x14ac:dyDescent="0.2">
      <c r="A186" s="727" t="s">
        <v>529</v>
      </c>
      <c r="B186" s="297" t="s">
        <v>461</v>
      </c>
      <c r="C186" s="298">
        <v>880</v>
      </c>
      <c r="D186" s="299">
        <v>6.42</v>
      </c>
      <c r="E186" s="299">
        <v>10.59</v>
      </c>
      <c r="F186" s="300">
        <v>197</v>
      </c>
      <c r="G186" s="301">
        <v>0.2</v>
      </c>
      <c r="H186" s="302">
        <f t="shared" si="29"/>
        <v>152</v>
      </c>
      <c r="I186" s="303" t="str">
        <f t="shared" si="27"/>
        <v>+7</v>
      </c>
      <c r="J186" s="302"/>
      <c r="K186" s="302">
        <v>261</v>
      </c>
      <c r="L186" s="302">
        <v>446</v>
      </c>
      <c r="M186" s="302">
        <f t="shared" si="28"/>
        <v>216</v>
      </c>
      <c r="N186" s="302">
        <v>0</v>
      </c>
      <c r="O186" s="336">
        <v>0</v>
      </c>
      <c r="P186" s="302">
        <v>140</v>
      </c>
      <c r="Q186" s="302">
        <f t="shared" ref="Q186:Q249" si="31">N186*(100-O186)/100+P186</f>
        <v>140</v>
      </c>
      <c r="R186" s="302">
        <v>29</v>
      </c>
      <c r="S186" s="302">
        <v>202</v>
      </c>
      <c r="T186" s="302"/>
      <c r="U186" s="302">
        <v>112</v>
      </c>
      <c r="V186" s="299">
        <v>8.4</v>
      </c>
      <c r="W186" s="299">
        <v>3.9</v>
      </c>
      <c r="X186" s="299">
        <v>1</v>
      </c>
      <c r="Y186" s="299">
        <v>3.5</v>
      </c>
      <c r="Z186" s="304">
        <v>20.7</v>
      </c>
      <c r="AA186" s="293"/>
      <c r="AB186" s="310">
        <f t="shared" si="30"/>
        <v>293.50700000000001</v>
      </c>
      <c r="AC186" s="294"/>
      <c r="AD186" s="295"/>
    </row>
    <row r="187" spans="1:30" s="296" customFormat="1" ht="17.25" customHeight="1" x14ac:dyDescent="0.2">
      <c r="A187" s="727" t="s">
        <v>529</v>
      </c>
      <c r="B187" s="297" t="s">
        <v>462</v>
      </c>
      <c r="C187" s="298">
        <v>880</v>
      </c>
      <c r="D187" s="299">
        <v>6.09</v>
      </c>
      <c r="E187" s="299">
        <v>10.220000000000001</v>
      </c>
      <c r="F187" s="300">
        <v>134</v>
      </c>
      <c r="G187" s="301">
        <v>0.2</v>
      </c>
      <c r="H187" s="302">
        <f t="shared" si="29"/>
        <v>136</v>
      </c>
      <c r="I187" s="303">
        <f t="shared" si="27"/>
        <v>0</v>
      </c>
      <c r="J187" s="302"/>
      <c r="K187" s="302">
        <v>285</v>
      </c>
      <c r="L187" s="302">
        <v>478</v>
      </c>
      <c r="M187" s="302">
        <f t="shared" si="28"/>
        <v>274</v>
      </c>
      <c r="N187" s="302">
        <v>0</v>
      </c>
      <c r="O187" s="336">
        <v>0</v>
      </c>
      <c r="P187" s="302">
        <v>120</v>
      </c>
      <c r="Q187" s="302">
        <f t="shared" si="31"/>
        <v>120</v>
      </c>
      <c r="R187" s="302">
        <v>24</v>
      </c>
      <c r="S187" s="302">
        <v>231</v>
      </c>
      <c r="T187" s="302"/>
      <c r="U187" s="302">
        <v>90</v>
      </c>
      <c r="V187" s="299">
        <v>10</v>
      </c>
      <c r="W187" s="299">
        <v>3.5</v>
      </c>
      <c r="X187" s="299">
        <v>1</v>
      </c>
      <c r="Y187" s="299">
        <v>2.1</v>
      </c>
      <c r="Z187" s="304">
        <v>26</v>
      </c>
      <c r="AA187" s="293"/>
      <c r="AB187" s="310">
        <f t="shared" si="30"/>
        <v>367.76</v>
      </c>
      <c r="AC187" s="294"/>
      <c r="AD187" s="295"/>
    </row>
    <row r="188" spans="1:30" s="296" customFormat="1" ht="17.25" customHeight="1" x14ac:dyDescent="0.2">
      <c r="A188" s="727" t="s">
        <v>529</v>
      </c>
      <c r="B188" s="297" t="s">
        <v>463</v>
      </c>
      <c r="C188" s="298">
        <v>880</v>
      </c>
      <c r="D188" s="299">
        <v>5.85</v>
      </c>
      <c r="E188" s="299">
        <v>9.9</v>
      </c>
      <c r="F188" s="300">
        <v>134</v>
      </c>
      <c r="G188" s="301">
        <v>0.2</v>
      </c>
      <c r="H188" s="302">
        <f t="shared" si="29"/>
        <v>132</v>
      </c>
      <c r="I188" s="303" t="str">
        <f t="shared" si="27"/>
        <v>+0</v>
      </c>
      <c r="J188" s="302"/>
      <c r="K188" s="302">
        <v>307</v>
      </c>
      <c r="L188" s="302">
        <v>522</v>
      </c>
      <c r="M188" s="302">
        <f t="shared" si="28"/>
        <v>240</v>
      </c>
      <c r="N188" s="302">
        <v>0</v>
      </c>
      <c r="O188" s="336">
        <v>0</v>
      </c>
      <c r="P188" s="302">
        <v>100</v>
      </c>
      <c r="Q188" s="302">
        <f t="shared" si="31"/>
        <v>100</v>
      </c>
      <c r="R188" s="302">
        <v>26</v>
      </c>
      <c r="S188" s="302">
        <v>242</v>
      </c>
      <c r="T188" s="302"/>
      <c r="U188" s="302">
        <v>78</v>
      </c>
      <c r="V188" s="299">
        <v>7.4</v>
      </c>
      <c r="W188" s="299">
        <v>3.3</v>
      </c>
      <c r="X188" s="299">
        <v>1</v>
      </c>
      <c r="Y188" s="299">
        <v>2.8</v>
      </c>
      <c r="Z188" s="304">
        <v>21</v>
      </c>
      <c r="AA188" s="293"/>
      <c r="AB188" s="310">
        <f t="shared" si="30"/>
        <v>297.70999999999998</v>
      </c>
      <c r="AC188" s="294"/>
      <c r="AD188" s="295"/>
    </row>
    <row r="189" spans="1:30" s="296" customFormat="1" ht="17.25" customHeight="1" x14ac:dyDescent="0.2">
      <c r="A189" s="727" t="s">
        <v>529</v>
      </c>
      <c r="B189" s="297" t="s">
        <v>471</v>
      </c>
      <c r="C189" s="298">
        <v>880</v>
      </c>
      <c r="D189" s="299">
        <v>6.27</v>
      </c>
      <c r="E189" s="299">
        <v>10.45</v>
      </c>
      <c r="F189" s="300">
        <v>156</v>
      </c>
      <c r="G189" s="301">
        <v>0.2</v>
      </c>
      <c r="H189" s="302">
        <f t="shared" si="29"/>
        <v>143</v>
      </c>
      <c r="I189" s="303" t="str">
        <f t="shared" si="27"/>
        <v>+2</v>
      </c>
      <c r="J189" s="302"/>
      <c r="K189" s="302">
        <v>276</v>
      </c>
      <c r="L189" s="302">
        <v>497</v>
      </c>
      <c r="M189" s="302">
        <f t="shared" si="28"/>
        <v>214</v>
      </c>
      <c r="N189" s="302">
        <v>0</v>
      </c>
      <c r="O189" s="336">
        <v>0</v>
      </c>
      <c r="P189" s="302">
        <v>130</v>
      </c>
      <c r="Q189" s="302">
        <f t="shared" si="31"/>
        <v>130</v>
      </c>
      <c r="R189" s="302">
        <v>30</v>
      </c>
      <c r="S189" s="302">
        <v>226</v>
      </c>
      <c r="T189" s="302"/>
      <c r="U189" s="302">
        <v>103</v>
      </c>
      <c r="V189" s="299">
        <v>6.6</v>
      </c>
      <c r="W189" s="299">
        <v>3.9</v>
      </c>
      <c r="X189" s="299">
        <v>0.2</v>
      </c>
      <c r="Y189" s="299">
        <v>2.6</v>
      </c>
      <c r="Z189" s="304">
        <v>35.799999999999997</v>
      </c>
      <c r="AA189" s="293"/>
      <c r="AB189" s="310">
        <f t="shared" si="30"/>
        <v>505.05799999999994</v>
      </c>
      <c r="AC189" s="294"/>
      <c r="AD189" s="295"/>
    </row>
    <row r="190" spans="1:30" s="296" customFormat="1" ht="17.25" customHeight="1" x14ac:dyDescent="0.2">
      <c r="A190" s="727" t="s">
        <v>529</v>
      </c>
      <c r="B190" s="297" t="s">
        <v>472</v>
      </c>
      <c r="C190" s="298">
        <v>880</v>
      </c>
      <c r="D190" s="299">
        <v>5.72</v>
      </c>
      <c r="E190" s="299">
        <v>9.6199999999999992</v>
      </c>
      <c r="F190" s="300">
        <v>146</v>
      </c>
      <c r="G190" s="301">
        <v>0.2</v>
      </c>
      <c r="H190" s="302">
        <f t="shared" si="29"/>
        <v>132</v>
      </c>
      <c r="I190" s="303" t="str">
        <f t="shared" si="27"/>
        <v>+2</v>
      </c>
      <c r="J190" s="302"/>
      <c r="K190" s="302">
        <v>296</v>
      </c>
      <c r="L190" s="302">
        <v>484</v>
      </c>
      <c r="M190" s="302">
        <f t="shared" si="28"/>
        <v>219</v>
      </c>
      <c r="N190" s="302">
        <v>0</v>
      </c>
      <c r="O190" s="336">
        <v>0</v>
      </c>
      <c r="P190" s="302">
        <v>120</v>
      </c>
      <c r="Q190" s="302">
        <f t="shared" si="31"/>
        <v>120</v>
      </c>
      <c r="R190" s="302">
        <v>28</v>
      </c>
      <c r="S190" s="302">
        <v>257</v>
      </c>
      <c r="T190" s="302"/>
      <c r="U190" s="302">
        <v>123</v>
      </c>
      <c r="V190" s="299">
        <v>5.7</v>
      </c>
      <c r="W190" s="299">
        <v>4.5</v>
      </c>
      <c r="X190" s="299">
        <v>0.2</v>
      </c>
      <c r="Y190" s="299">
        <v>1.9</v>
      </c>
      <c r="Z190" s="304">
        <v>21.1</v>
      </c>
      <c r="AA190" s="293"/>
      <c r="AB190" s="310">
        <f t="shared" si="30"/>
        <v>299.11099999999999</v>
      </c>
      <c r="AC190" s="294"/>
      <c r="AD190" s="295"/>
    </row>
    <row r="191" spans="1:30" s="296" customFormat="1" ht="17.25" customHeight="1" x14ac:dyDescent="0.2">
      <c r="A191" s="727" t="s">
        <v>529</v>
      </c>
      <c r="B191" s="297" t="s">
        <v>473</v>
      </c>
      <c r="C191" s="298">
        <v>880</v>
      </c>
      <c r="D191" s="299">
        <v>5.4</v>
      </c>
      <c r="E191" s="299">
        <v>9.25</v>
      </c>
      <c r="F191" s="300">
        <v>121</v>
      </c>
      <c r="G191" s="301">
        <v>0.2</v>
      </c>
      <c r="H191" s="302">
        <f t="shared" si="29"/>
        <v>123</v>
      </c>
      <c r="I191" s="303">
        <f t="shared" si="27"/>
        <v>0</v>
      </c>
      <c r="J191" s="302"/>
      <c r="K191" s="302">
        <v>330</v>
      </c>
      <c r="L191" s="302">
        <v>536</v>
      </c>
      <c r="M191" s="302">
        <f t="shared" si="28"/>
        <v>236</v>
      </c>
      <c r="N191" s="302">
        <v>0</v>
      </c>
      <c r="O191" s="336">
        <v>0</v>
      </c>
      <c r="P191" s="302">
        <v>100</v>
      </c>
      <c r="Q191" s="302">
        <f t="shared" si="31"/>
        <v>100</v>
      </c>
      <c r="R191" s="302">
        <v>22</v>
      </c>
      <c r="S191" s="302">
        <v>276</v>
      </c>
      <c r="T191" s="302"/>
      <c r="U191" s="302">
        <v>85</v>
      </c>
      <c r="V191" s="299">
        <v>6.6</v>
      </c>
      <c r="W191" s="299">
        <v>4.0999999999999996</v>
      </c>
      <c r="X191" s="299">
        <v>0.2</v>
      </c>
      <c r="Y191" s="299">
        <v>2.1</v>
      </c>
      <c r="Z191" s="304">
        <v>21.4</v>
      </c>
      <c r="AA191" s="293"/>
      <c r="AB191" s="310">
        <f t="shared" si="30"/>
        <v>303.31399999999996</v>
      </c>
      <c r="AC191" s="294"/>
      <c r="AD191" s="295"/>
    </row>
    <row r="192" spans="1:30" s="296" customFormat="1" ht="17.25" customHeight="1" x14ac:dyDescent="0.2">
      <c r="A192" s="727" t="s">
        <v>529</v>
      </c>
      <c r="B192" s="297" t="s">
        <v>455</v>
      </c>
      <c r="C192" s="298">
        <v>920</v>
      </c>
      <c r="D192" s="299">
        <v>7.25</v>
      </c>
      <c r="E192" s="299">
        <v>11.79</v>
      </c>
      <c r="F192" s="300">
        <v>188</v>
      </c>
      <c r="G192" s="301">
        <v>0.4</v>
      </c>
      <c r="H192" s="302">
        <f t="shared" si="29"/>
        <v>186</v>
      </c>
      <c r="I192" s="303" t="str">
        <f t="shared" si="27"/>
        <v>+0</v>
      </c>
      <c r="J192" s="302"/>
      <c r="K192" s="302">
        <v>189</v>
      </c>
      <c r="L192" s="302">
        <v>393</v>
      </c>
      <c r="M192" s="302">
        <f t="shared" si="28"/>
        <v>288</v>
      </c>
      <c r="N192" s="302">
        <v>0</v>
      </c>
      <c r="O192" s="336">
        <v>0</v>
      </c>
      <c r="P192" s="302">
        <v>160</v>
      </c>
      <c r="Q192" s="302">
        <f t="shared" si="31"/>
        <v>160</v>
      </c>
      <c r="R192" s="302">
        <v>36</v>
      </c>
      <c r="S192" s="302">
        <v>146</v>
      </c>
      <c r="T192" s="302"/>
      <c r="U192" s="302">
        <v>95</v>
      </c>
      <c r="V192" s="299">
        <v>10</v>
      </c>
      <c r="W192" s="299">
        <v>4</v>
      </c>
      <c r="X192" s="299">
        <v>0.8</v>
      </c>
      <c r="Y192" s="299">
        <v>3.6</v>
      </c>
      <c r="Z192" s="304">
        <v>25</v>
      </c>
      <c r="AA192" s="293"/>
      <c r="AB192" s="310">
        <f t="shared" si="30"/>
        <v>353.75</v>
      </c>
      <c r="AC192" s="294"/>
      <c r="AD192" s="295"/>
    </row>
    <row r="193" spans="1:38" s="296" customFormat="1" ht="17.25" customHeight="1" x14ac:dyDescent="0.2">
      <c r="A193" s="727" t="s">
        <v>529</v>
      </c>
      <c r="B193" s="297" t="s">
        <v>456</v>
      </c>
      <c r="C193" s="298">
        <v>920</v>
      </c>
      <c r="D193" s="299">
        <v>6.55</v>
      </c>
      <c r="E193" s="299">
        <v>10.83</v>
      </c>
      <c r="F193" s="300">
        <v>183</v>
      </c>
      <c r="G193" s="301">
        <v>0.4</v>
      </c>
      <c r="H193" s="302">
        <f t="shared" si="29"/>
        <v>175</v>
      </c>
      <c r="I193" s="303" t="str">
        <f t="shared" si="27"/>
        <v>+1</v>
      </c>
      <c r="J193" s="302"/>
      <c r="K193" s="302">
        <v>250</v>
      </c>
      <c r="L193" s="302">
        <v>455</v>
      </c>
      <c r="M193" s="302">
        <f t="shared" si="28"/>
        <v>222</v>
      </c>
      <c r="N193" s="302">
        <v>0</v>
      </c>
      <c r="O193" s="336">
        <v>0</v>
      </c>
      <c r="P193" s="302">
        <v>130</v>
      </c>
      <c r="Q193" s="302">
        <f t="shared" si="31"/>
        <v>130</v>
      </c>
      <c r="R193" s="302">
        <v>38</v>
      </c>
      <c r="S193" s="302">
        <v>209</v>
      </c>
      <c r="T193" s="302"/>
      <c r="U193" s="302">
        <v>102</v>
      </c>
      <c r="V193" s="299">
        <v>10</v>
      </c>
      <c r="W193" s="299">
        <v>4</v>
      </c>
      <c r="X193" s="299">
        <v>0.8</v>
      </c>
      <c r="Y193" s="299">
        <v>3.6</v>
      </c>
      <c r="Z193" s="304">
        <v>25</v>
      </c>
      <c r="AA193" s="293"/>
      <c r="AB193" s="310">
        <f t="shared" si="30"/>
        <v>353.75</v>
      </c>
      <c r="AC193" s="294"/>
      <c r="AD193" s="295"/>
    </row>
    <row r="194" spans="1:38" s="296" customFormat="1" ht="17.25" customHeight="1" x14ac:dyDescent="0.2">
      <c r="A194" s="727" t="s">
        <v>529</v>
      </c>
      <c r="B194" s="297" t="s">
        <v>457</v>
      </c>
      <c r="C194" s="298">
        <v>920</v>
      </c>
      <c r="D194" s="299">
        <v>5.85</v>
      </c>
      <c r="E194" s="299">
        <v>9.84</v>
      </c>
      <c r="F194" s="300">
        <v>152</v>
      </c>
      <c r="G194" s="301">
        <v>0.4</v>
      </c>
      <c r="H194" s="302">
        <f t="shared" si="29"/>
        <v>153</v>
      </c>
      <c r="I194" s="303">
        <f t="shared" si="27"/>
        <v>0</v>
      </c>
      <c r="J194" s="302"/>
      <c r="K194" s="302">
        <v>285</v>
      </c>
      <c r="L194" s="302">
        <v>459</v>
      </c>
      <c r="M194" s="302">
        <f t="shared" si="28"/>
        <v>243</v>
      </c>
      <c r="N194" s="302">
        <v>0</v>
      </c>
      <c r="O194" s="336">
        <v>0</v>
      </c>
      <c r="P194" s="302">
        <v>110</v>
      </c>
      <c r="Q194" s="302">
        <f t="shared" si="31"/>
        <v>110</v>
      </c>
      <c r="R194" s="302">
        <v>28</v>
      </c>
      <c r="S194" s="302">
        <v>235</v>
      </c>
      <c r="T194" s="302"/>
      <c r="U194" s="302">
        <v>118</v>
      </c>
      <c r="V194" s="299">
        <v>10</v>
      </c>
      <c r="W194" s="299">
        <v>4</v>
      </c>
      <c r="X194" s="299">
        <v>0.8</v>
      </c>
      <c r="Y194" s="299">
        <v>3.6</v>
      </c>
      <c r="Z194" s="304">
        <v>25</v>
      </c>
      <c r="AA194" s="293"/>
      <c r="AB194" s="310">
        <f t="shared" si="30"/>
        <v>353.75</v>
      </c>
      <c r="AC194" s="294"/>
      <c r="AD194" s="295"/>
    </row>
    <row r="195" spans="1:38" s="296" customFormat="1" ht="17.25" customHeight="1" x14ac:dyDescent="0.2">
      <c r="A195" s="727" t="s">
        <v>529</v>
      </c>
      <c r="B195" s="297" t="s">
        <v>137</v>
      </c>
      <c r="C195" s="298">
        <v>860</v>
      </c>
      <c r="D195" s="299">
        <v>5.9</v>
      </c>
      <c r="E195" s="299">
        <v>10</v>
      </c>
      <c r="F195" s="300">
        <v>140</v>
      </c>
      <c r="G195" s="301">
        <v>0.2</v>
      </c>
      <c r="H195" s="302">
        <f t="shared" si="29"/>
        <v>135</v>
      </c>
      <c r="I195" s="303" t="str">
        <f t="shared" si="27"/>
        <v>+1</v>
      </c>
      <c r="J195" s="302"/>
      <c r="K195" s="302">
        <f>S195*1.05</f>
        <v>273</v>
      </c>
      <c r="L195" s="302">
        <f>S195*2.3</f>
        <v>598</v>
      </c>
      <c r="M195" s="302">
        <f t="shared" si="28"/>
        <v>143</v>
      </c>
      <c r="N195" s="302">
        <v>0</v>
      </c>
      <c r="O195" s="336">
        <v>0</v>
      </c>
      <c r="P195" s="302">
        <v>50</v>
      </c>
      <c r="Q195" s="302">
        <f t="shared" si="31"/>
        <v>50</v>
      </c>
      <c r="R195" s="302">
        <v>25</v>
      </c>
      <c r="S195" s="302">
        <v>260</v>
      </c>
      <c r="T195" s="302"/>
      <c r="U195" s="302">
        <v>94</v>
      </c>
      <c r="V195" s="299">
        <v>15</v>
      </c>
      <c r="W195" s="299">
        <v>2.5</v>
      </c>
      <c r="X195" s="299">
        <v>0.5</v>
      </c>
      <c r="Y195" s="299">
        <v>3.2</v>
      </c>
      <c r="Z195" s="304">
        <v>20</v>
      </c>
      <c r="AA195" s="293" t="s">
        <v>309</v>
      </c>
      <c r="AB195" s="310">
        <v>415</v>
      </c>
      <c r="AC195" s="294"/>
      <c r="AD195" s="295" t="str">
        <f t="shared" ref="AD195:AD200" si="32">IF(COUNTA(B195:AA195)&lt;21,"x","")</f>
        <v/>
      </c>
    </row>
    <row r="196" spans="1:38" s="296" customFormat="1" ht="17.25" customHeight="1" x14ac:dyDescent="0.2">
      <c r="A196" s="727" t="s">
        <v>529</v>
      </c>
      <c r="B196" s="297" t="s">
        <v>138</v>
      </c>
      <c r="C196" s="298">
        <v>860</v>
      </c>
      <c r="D196" s="299">
        <v>5.0999999999999996</v>
      </c>
      <c r="E196" s="299">
        <v>8.6999999999999993</v>
      </c>
      <c r="F196" s="300">
        <v>125</v>
      </c>
      <c r="G196" s="301">
        <v>0.2</v>
      </c>
      <c r="H196" s="302">
        <f t="shared" si="29"/>
        <v>118</v>
      </c>
      <c r="I196" s="303" t="str">
        <f t="shared" si="27"/>
        <v>+1</v>
      </c>
      <c r="J196" s="302"/>
      <c r="K196" s="302">
        <f>S196*1.05</f>
        <v>346.5</v>
      </c>
      <c r="L196" s="302">
        <f>S196*2.3</f>
        <v>758.99999999999989</v>
      </c>
      <c r="M196" s="302">
        <f t="shared" si="28"/>
        <v>8.0000000000001137</v>
      </c>
      <c r="N196" s="302">
        <v>0</v>
      </c>
      <c r="O196" s="336">
        <v>0</v>
      </c>
      <c r="P196" s="302">
        <v>30</v>
      </c>
      <c r="Q196" s="302">
        <f t="shared" si="31"/>
        <v>30</v>
      </c>
      <c r="R196" s="302">
        <v>25</v>
      </c>
      <c r="S196" s="302">
        <v>330</v>
      </c>
      <c r="T196" s="302"/>
      <c r="U196" s="302">
        <v>83</v>
      </c>
      <c r="V196" s="299">
        <v>15</v>
      </c>
      <c r="W196" s="299">
        <v>2.5</v>
      </c>
      <c r="X196" s="299">
        <v>0.5</v>
      </c>
      <c r="Y196" s="299">
        <v>3.2</v>
      </c>
      <c r="Z196" s="304">
        <v>20</v>
      </c>
      <c r="AA196" s="293" t="s">
        <v>309</v>
      </c>
      <c r="AB196" s="310">
        <v>415</v>
      </c>
      <c r="AC196" s="294"/>
      <c r="AD196" s="295" t="str">
        <f t="shared" si="32"/>
        <v/>
      </c>
    </row>
    <row r="197" spans="1:38" s="296" customFormat="1" ht="17.25" customHeight="1" x14ac:dyDescent="0.2">
      <c r="A197" s="727" t="s">
        <v>529</v>
      </c>
      <c r="B197" s="297" t="s">
        <v>162</v>
      </c>
      <c r="C197" s="298">
        <v>860</v>
      </c>
      <c r="D197" s="299">
        <v>4.9000000000000004</v>
      </c>
      <c r="E197" s="299">
        <v>8.52</v>
      </c>
      <c r="F197" s="300">
        <v>185</v>
      </c>
      <c r="G197" s="301">
        <v>0.25</v>
      </c>
      <c r="H197" s="302">
        <f t="shared" si="29"/>
        <v>135</v>
      </c>
      <c r="I197" s="303" t="str">
        <f t="shared" si="27"/>
        <v>+8</v>
      </c>
      <c r="J197" s="302"/>
      <c r="K197" s="302">
        <f>1.35*S197</f>
        <v>411.75</v>
      </c>
      <c r="L197" s="302">
        <f>1.6*S197</f>
        <v>488</v>
      </c>
      <c r="M197" s="302">
        <f t="shared" si="28"/>
        <v>219</v>
      </c>
      <c r="N197" s="302">
        <v>0</v>
      </c>
      <c r="O197" s="336">
        <v>0</v>
      </c>
      <c r="P197" s="302">
        <v>50</v>
      </c>
      <c r="Q197" s="302">
        <f t="shared" si="31"/>
        <v>50</v>
      </c>
      <c r="R197" s="302">
        <v>20</v>
      </c>
      <c r="S197" s="302">
        <v>305</v>
      </c>
      <c r="T197" s="302"/>
      <c r="U197" s="302">
        <v>88</v>
      </c>
      <c r="V197" s="299">
        <v>16</v>
      </c>
      <c r="W197" s="299">
        <v>3.5</v>
      </c>
      <c r="X197" s="299">
        <v>0.8</v>
      </c>
      <c r="Y197" s="299">
        <v>3.1</v>
      </c>
      <c r="Z197" s="304">
        <v>30</v>
      </c>
      <c r="AA197" s="293" t="s">
        <v>309</v>
      </c>
      <c r="AB197" s="310">
        <f>14.01*Z197+3.5</f>
        <v>423.8</v>
      </c>
      <c r="AC197" s="294"/>
      <c r="AD197" s="295" t="str">
        <f t="shared" si="32"/>
        <v/>
      </c>
    </row>
    <row r="198" spans="1:38" s="296" customFormat="1" ht="17.25" customHeight="1" x14ac:dyDescent="0.2">
      <c r="A198" s="727" t="s">
        <v>529</v>
      </c>
      <c r="B198" s="297" t="s">
        <v>136</v>
      </c>
      <c r="C198" s="298">
        <v>860</v>
      </c>
      <c r="D198" s="299">
        <v>4.63</v>
      </c>
      <c r="E198" s="299">
        <v>8.1199999999999992</v>
      </c>
      <c r="F198" s="300">
        <v>180</v>
      </c>
      <c r="G198" s="301">
        <v>0.25</v>
      </c>
      <c r="H198" s="302">
        <f t="shared" si="29"/>
        <v>129</v>
      </c>
      <c r="I198" s="303" t="str">
        <f t="shared" si="27"/>
        <v>+8</v>
      </c>
      <c r="J198" s="302"/>
      <c r="K198" s="302">
        <f>1.35*S198</f>
        <v>405</v>
      </c>
      <c r="L198" s="302">
        <f>1.6*S198</f>
        <v>480</v>
      </c>
      <c r="M198" s="302">
        <f t="shared" si="28"/>
        <v>224</v>
      </c>
      <c r="N198" s="302">
        <v>0</v>
      </c>
      <c r="O198" s="336">
        <v>0</v>
      </c>
      <c r="P198" s="302">
        <v>40</v>
      </c>
      <c r="Q198" s="302">
        <f t="shared" si="31"/>
        <v>40</v>
      </c>
      <c r="R198" s="302">
        <v>20</v>
      </c>
      <c r="S198" s="302">
        <v>300</v>
      </c>
      <c r="T198" s="302"/>
      <c r="U198" s="302">
        <v>96</v>
      </c>
      <c r="V198" s="299">
        <v>18</v>
      </c>
      <c r="W198" s="299">
        <v>3.1</v>
      </c>
      <c r="X198" s="299">
        <v>0.8</v>
      </c>
      <c r="Y198" s="299">
        <v>3.9</v>
      </c>
      <c r="Z198" s="304">
        <v>27</v>
      </c>
      <c r="AA198" s="293" t="s">
        <v>309</v>
      </c>
      <c r="AB198" s="310">
        <f>14.01*Z198+3.5</f>
        <v>381.77</v>
      </c>
      <c r="AC198" s="294"/>
      <c r="AD198" s="295" t="str">
        <f t="shared" si="32"/>
        <v/>
      </c>
    </row>
    <row r="199" spans="1:38" s="296" customFormat="1" ht="17.25" customHeight="1" x14ac:dyDescent="0.2">
      <c r="A199" s="727" t="s">
        <v>529</v>
      </c>
      <c r="B199" s="297" t="s">
        <v>139</v>
      </c>
      <c r="C199" s="298">
        <v>860</v>
      </c>
      <c r="D199" s="299">
        <v>4</v>
      </c>
      <c r="E199" s="299">
        <f>D199/0.63</f>
        <v>6.3492063492063489</v>
      </c>
      <c r="F199" s="300">
        <v>48</v>
      </c>
      <c r="G199" s="301">
        <v>0.45</v>
      </c>
      <c r="H199" s="302">
        <v>80</v>
      </c>
      <c r="I199" s="303">
        <f t="shared" si="27"/>
        <v>-5</v>
      </c>
      <c r="J199" s="302"/>
      <c r="K199" s="302">
        <v>480</v>
      </c>
      <c r="L199" s="302">
        <v>753</v>
      </c>
      <c r="M199" s="302">
        <v>121</v>
      </c>
      <c r="N199" s="302">
        <v>10</v>
      </c>
      <c r="O199" s="336">
        <v>0.15</v>
      </c>
      <c r="P199" s="302">
        <v>7</v>
      </c>
      <c r="Q199" s="302">
        <f t="shared" si="31"/>
        <v>16.984999999999999</v>
      </c>
      <c r="R199" s="302">
        <v>16</v>
      </c>
      <c r="S199" s="302">
        <v>442</v>
      </c>
      <c r="T199" s="302"/>
      <c r="U199" s="302">
        <v>62</v>
      </c>
      <c r="V199" s="299">
        <v>2.9</v>
      </c>
      <c r="W199" s="299">
        <v>1.5</v>
      </c>
      <c r="X199" s="299">
        <v>0.2</v>
      </c>
      <c r="Y199" s="299">
        <v>0.8</v>
      </c>
      <c r="Z199" s="304">
        <v>12.3</v>
      </c>
      <c r="AA199" s="293" t="s">
        <v>309</v>
      </c>
      <c r="AB199" s="310">
        <v>95</v>
      </c>
      <c r="AC199" s="294"/>
      <c r="AD199" s="295" t="str">
        <f t="shared" si="32"/>
        <v/>
      </c>
    </row>
    <row r="200" spans="1:38" s="82" customFormat="1" ht="12" x14ac:dyDescent="0.2">
      <c r="A200" s="725"/>
      <c r="B200" s="257"/>
      <c r="C200" s="258"/>
      <c r="D200" s="259"/>
      <c r="E200" s="259"/>
      <c r="F200" s="260"/>
      <c r="G200" s="259"/>
      <c r="H200" s="259"/>
      <c r="I200" s="259"/>
      <c r="J200" s="259"/>
      <c r="K200" s="307"/>
      <c r="L200" s="307"/>
      <c r="M200" s="307"/>
      <c r="N200" s="307"/>
      <c r="O200" s="337"/>
      <c r="P200" s="307"/>
      <c r="Q200" s="307"/>
      <c r="R200" s="307"/>
      <c r="S200" s="307"/>
      <c r="T200" s="307"/>
      <c r="U200" s="307"/>
      <c r="V200" s="259"/>
      <c r="W200" s="261"/>
      <c r="X200" s="261"/>
      <c r="Y200" s="261"/>
      <c r="Z200" s="262"/>
      <c r="AA200" s="262"/>
      <c r="AB200" s="258"/>
      <c r="AC200" s="282"/>
      <c r="AD200" s="80" t="str">
        <f t="shared" si="32"/>
        <v>x</v>
      </c>
      <c r="AE200" s="81"/>
      <c r="AF200" s="81"/>
      <c r="AG200" s="81"/>
      <c r="AH200" s="81"/>
      <c r="AI200" s="81"/>
      <c r="AJ200" s="81"/>
      <c r="AL200" s="72"/>
    </row>
    <row r="201" spans="1:38" s="72" customFormat="1" ht="17.25" customHeight="1" x14ac:dyDescent="0.2">
      <c r="A201" s="704" t="s">
        <v>80</v>
      </c>
      <c r="B201" s="263"/>
      <c r="C201" s="264">
        <v>0</v>
      </c>
      <c r="D201" s="265">
        <v>1E-4</v>
      </c>
      <c r="E201" s="265">
        <v>1E-4</v>
      </c>
      <c r="F201" s="266">
        <v>1E-4</v>
      </c>
      <c r="G201" s="265">
        <v>1E-4</v>
      </c>
      <c r="H201" s="265">
        <v>1E-4</v>
      </c>
      <c r="I201" s="265">
        <v>1E-4</v>
      </c>
      <c r="J201" s="265">
        <v>1E-4</v>
      </c>
      <c r="K201" s="265">
        <v>1E-4</v>
      </c>
      <c r="L201" s="265">
        <v>1E-4</v>
      </c>
      <c r="M201" s="265">
        <v>1E-4</v>
      </c>
      <c r="N201" s="265">
        <v>1E-4</v>
      </c>
      <c r="O201" s="265">
        <v>1E-4</v>
      </c>
      <c r="P201" s="265">
        <v>1E-4</v>
      </c>
      <c r="Q201" s="265">
        <v>1E-4</v>
      </c>
      <c r="R201" s="265">
        <v>1E-4</v>
      </c>
      <c r="S201" s="265">
        <v>1E-4</v>
      </c>
      <c r="T201" s="265">
        <v>1E-4</v>
      </c>
      <c r="U201" s="265">
        <v>1E-4</v>
      </c>
      <c r="V201" s="265">
        <v>1E-4</v>
      </c>
      <c r="W201" s="267">
        <v>1E-4</v>
      </c>
      <c r="X201" s="267">
        <v>1E-4</v>
      </c>
      <c r="Y201" s="267">
        <v>1E-4</v>
      </c>
      <c r="Z201" s="268">
        <v>1E-4</v>
      </c>
      <c r="AA201" s="268">
        <v>1E-4</v>
      </c>
      <c r="AB201" s="264"/>
      <c r="AC201" s="270"/>
      <c r="AD201" s="73"/>
      <c r="AE201" s="73"/>
      <c r="AF201" s="73"/>
      <c r="AG201" s="73"/>
      <c r="AH201" s="73"/>
      <c r="AI201" s="73"/>
      <c r="AJ201" s="73"/>
    </row>
    <row r="202" spans="1:38" s="296" customFormat="1" ht="17.25" customHeight="1" x14ac:dyDescent="0.2">
      <c r="A202" s="727"/>
      <c r="B202" s="297" t="s">
        <v>81</v>
      </c>
      <c r="C202" s="298">
        <v>880</v>
      </c>
      <c r="D202" s="299">
        <v>8.5</v>
      </c>
      <c r="E202" s="299">
        <f>D202/0.63</f>
        <v>13.492063492063492</v>
      </c>
      <c r="F202" s="300">
        <v>272</v>
      </c>
      <c r="G202" s="301">
        <v>0.15</v>
      </c>
      <c r="H202" s="302">
        <f>ROUND((11.93-(6.82*G202))*E202+1.03*G202*F202,0)</f>
        <v>189</v>
      </c>
      <c r="I202" s="303" t="str">
        <f>IF((F202-H202)/6.25&lt;0,ROUND((F202-H202)/6.25,0),"+"&amp;ROUND(((F202-H202)/6.25),0))</f>
        <v>+13</v>
      </c>
      <c r="J202" s="302"/>
      <c r="K202" s="302">
        <v>140</v>
      </c>
      <c r="L202" s="302">
        <v>190</v>
      </c>
      <c r="M202" s="302">
        <f t="shared" ref="M202:M225" si="33">IF(AND(U202&lt;&gt;"",F202&lt;&gt;"",L202&lt;&gt;"",R202&lt;&gt;""),1000-F202-L202-R202-U202,"Fehler")</f>
        <v>483</v>
      </c>
      <c r="N202" s="302">
        <v>430</v>
      </c>
      <c r="O202" s="336">
        <v>0.2</v>
      </c>
      <c r="P202" s="302">
        <v>32</v>
      </c>
      <c r="Q202" s="302">
        <f t="shared" si="31"/>
        <v>461.14</v>
      </c>
      <c r="R202" s="302">
        <v>15</v>
      </c>
      <c r="S202" s="302">
        <v>170</v>
      </c>
      <c r="T202" s="302"/>
      <c r="U202" s="302">
        <v>40</v>
      </c>
      <c r="V202" s="299">
        <v>1.8</v>
      </c>
      <c r="W202" s="299">
        <v>9</v>
      </c>
      <c r="X202" s="299">
        <v>0.3</v>
      </c>
      <c r="Y202" s="299">
        <v>1.5</v>
      </c>
      <c r="Z202" s="304">
        <v>14</v>
      </c>
      <c r="AA202" s="293" t="s">
        <v>309</v>
      </c>
      <c r="AB202" s="310">
        <v>5</v>
      </c>
      <c r="AC202" s="294"/>
      <c r="AD202" s="295" t="str">
        <f>IF(COUNTA(B202:AA202)&lt;21,"x","")</f>
        <v/>
      </c>
      <c r="AE202" s="296">
        <f t="shared" ref="AE202:AE239" si="34">+S202</f>
        <v>170</v>
      </c>
      <c r="AF202" s="296">
        <f t="shared" ref="AF202:AF221" si="35">IF(N202=0,0.0001,N202)</f>
        <v>430</v>
      </c>
      <c r="AG202" s="296">
        <v>0.25</v>
      </c>
      <c r="AH202" s="296">
        <f t="shared" ref="AH202:AH239" si="36">+AF202*AG202</f>
        <v>107.5</v>
      </c>
      <c r="AI202" s="296">
        <f t="shared" ref="AI202:AI239" si="37">+P202</f>
        <v>32</v>
      </c>
      <c r="AJ202" s="296">
        <f t="shared" ref="AJ202:AJ239" si="38">0.9-1.3*AG202</f>
        <v>0.57499999999999996</v>
      </c>
    </row>
    <row r="203" spans="1:38" s="296" customFormat="1" ht="17.25" customHeight="1" x14ac:dyDescent="0.2">
      <c r="A203" s="727"/>
      <c r="B203" s="297" t="s">
        <v>115</v>
      </c>
      <c r="C203" s="298">
        <v>900</v>
      </c>
      <c r="D203" s="299">
        <v>6.5</v>
      </c>
      <c r="E203" s="299">
        <v>11</v>
      </c>
      <c r="F203" s="300">
        <v>445</v>
      </c>
      <c r="G203" s="301">
        <v>0.4</v>
      </c>
      <c r="H203" s="302">
        <f>ROUND((11.93-(6.82*G203))*E203+1.03*G203*F203,0)</f>
        <v>285</v>
      </c>
      <c r="I203" s="303" t="str">
        <f>IF((F203-H203)/6.25&lt;0,ROUND((F203-H203)/6.25,0),"+"&amp;ROUND(((F203-H203)/6.25),0))</f>
        <v>+26</v>
      </c>
      <c r="J203" s="302"/>
      <c r="K203" s="302">
        <v>205</v>
      </c>
      <c r="L203" s="302">
        <v>310</v>
      </c>
      <c r="M203" s="302">
        <f t="shared" si="33"/>
        <v>161</v>
      </c>
      <c r="N203" s="302">
        <v>0</v>
      </c>
      <c r="O203" s="336">
        <v>0</v>
      </c>
      <c r="P203" s="302">
        <v>55</v>
      </c>
      <c r="Q203" s="302">
        <f t="shared" si="31"/>
        <v>55</v>
      </c>
      <c r="R203" s="302">
        <v>15</v>
      </c>
      <c r="S203" s="302">
        <v>150</v>
      </c>
      <c r="T203" s="302"/>
      <c r="U203" s="302">
        <v>69</v>
      </c>
      <c r="V203" s="299">
        <v>2.2999999999999998</v>
      </c>
      <c r="W203" s="299">
        <v>12</v>
      </c>
      <c r="X203" s="299">
        <v>0.6</v>
      </c>
      <c r="Y203" s="299">
        <f>4.9/0.9</f>
        <v>5.4444444444444446</v>
      </c>
      <c r="Z203" s="304">
        <v>15</v>
      </c>
      <c r="AA203" s="293" t="s">
        <v>309</v>
      </c>
      <c r="AB203" s="310" t="s">
        <v>309</v>
      </c>
      <c r="AC203" s="294"/>
      <c r="AD203" s="295" t="str">
        <f>IF(COUNTA(B203:AA203)&lt;21,"x","")</f>
        <v/>
      </c>
      <c r="AE203" s="296">
        <f t="shared" si="34"/>
        <v>150</v>
      </c>
      <c r="AF203" s="296">
        <f t="shared" si="35"/>
        <v>1E-4</v>
      </c>
      <c r="AG203" s="296">
        <v>1</v>
      </c>
      <c r="AH203" s="296">
        <f t="shared" si="36"/>
        <v>1E-4</v>
      </c>
      <c r="AI203" s="296">
        <f t="shared" si="37"/>
        <v>55</v>
      </c>
      <c r="AJ203" s="296">
        <f t="shared" si="38"/>
        <v>-0.4</v>
      </c>
    </row>
    <row r="204" spans="1:38" s="296" customFormat="1" ht="17.25" customHeight="1" x14ac:dyDescent="0.2">
      <c r="A204" s="727"/>
      <c r="B204" s="297" t="s">
        <v>120</v>
      </c>
      <c r="C204" s="298">
        <v>930</v>
      </c>
      <c r="D204" s="299">
        <v>7.3</v>
      </c>
      <c r="E204" s="299">
        <f>D204/0.63</f>
        <v>11.587301587301587</v>
      </c>
      <c r="F204" s="300">
        <v>495</v>
      </c>
      <c r="G204" s="301">
        <v>0.2</v>
      </c>
      <c r="H204" s="302">
        <f>ROUND((11.93-(6.82*G204))*E204+1.03*G204*F204,0)</f>
        <v>224</v>
      </c>
      <c r="I204" s="303" t="str">
        <f>IF((F204-H204)/6.25&lt;0,ROUND((F204-H204)/6.25,0),"+"&amp;ROUND(((F204-H204)/6.25),0))</f>
        <v>+43</v>
      </c>
      <c r="J204" s="302"/>
      <c r="K204" s="302">
        <v>4</v>
      </c>
      <c r="L204" s="302">
        <v>8</v>
      </c>
      <c r="M204" s="302">
        <f t="shared" si="33"/>
        <v>386</v>
      </c>
      <c r="N204" s="302">
        <v>0</v>
      </c>
      <c r="O204" s="336">
        <v>0</v>
      </c>
      <c r="P204" s="302">
        <v>15</v>
      </c>
      <c r="Q204" s="302">
        <f t="shared" si="31"/>
        <v>15</v>
      </c>
      <c r="R204" s="302">
        <v>30</v>
      </c>
      <c r="S204" s="302">
        <v>3</v>
      </c>
      <c r="T204" s="302"/>
      <c r="U204" s="302">
        <v>81</v>
      </c>
      <c r="V204" s="299">
        <v>1.5</v>
      </c>
      <c r="W204" s="299">
        <v>16</v>
      </c>
      <c r="X204" s="299">
        <v>0.1</v>
      </c>
      <c r="Y204" s="299">
        <v>2.2000000000000002</v>
      </c>
      <c r="Z204" s="304">
        <v>24</v>
      </c>
      <c r="AA204" s="293" t="s">
        <v>309</v>
      </c>
      <c r="AB204" s="310" t="s">
        <v>309</v>
      </c>
      <c r="AC204" s="294"/>
      <c r="AD204" s="295" t="str">
        <f>IF(COUNTA(B204:AA204)&lt;21,"x","")</f>
        <v/>
      </c>
      <c r="AE204" s="296">
        <f t="shared" si="34"/>
        <v>3</v>
      </c>
      <c r="AF204" s="296">
        <f t="shared" si="35"/>
        <v>1E-4</v>
      </c>
      <c r="AG204" s="296">
        <v>0.1</v>
      </c>
      <c r="AH204" s="296">
        <f t="shared" si="36"/>
        <v>1.0000000000000001E-5</v>
      </c>
      <c r="AI204" s="296">
        <f t="shared" si="37"/>
        <v>15</v>
      </c>
      <c r="AJ204" s="296">
        <f t="shared" si="38"/>
        <v>0.77</v>
      </c>
    </row>
    <row r="205" spans="1:38" s="296" customFormat="1" ht="17.25" customHeight="1" x14ac:dyDescent="0.2">
      <c r="A205" s="727"/>
      <c r="B205" s="297" t="s">
        <v>188</v>
      </c>
      <c r="C205" s="298">
        <v>940</v>
      </c>
      <c r="D205" s="299">
        <f>7/0.94</f>
        <v>7.4468085106382986</v>
      </c>
      <c r="E205" s="299">
        <f>D205/0.6</f>
        <v>12.411347517730498</v>
      </c>
      <c r="F205" s="300">
        <f>312/0.94</f>
        <v>331.91489361702128</v>
      </c>
      <c r="G205" s="301">
        <v>0.4</v>
      </c>
      <c r="H205" s="302">
        <f>ROUND((11.93-(6.82*G205))*E205+1.03*G205*F205,0)</f>
        <v>251</v>
      </c>
      <c r="I205" s="303" t="str">
        <f>IF((F205-H205)/6.25&lt;0,ROUND((F205-H205)/6.25,0),"+"&amp;ROUND(((F205-H205)/6.25),0))</f>
        <v>+13</v>
      </c>
      <c r="J205" s="302"/>
      <c r="K205" s="302">
        <f>175/0.94</f>
        <v>186.17021276595744</v>
      </c>
      <c r="L205" s="302">
        <f>306/0.94</f>
        <v>325.53191489361706</v>
      </c>
      <c r="M205" s="302">
        <f t="shared" si="33"/>
        <v>215.95744680851055</v>
      </c>
      <c r="N205" s="302">
        <v>35</v>
      </c>
      <c r="O205" s="336">
        <v>0.15</v>
      </c>
      <c r="P205" s="302">
        <v>45</v>
      </c>
      <c r="Q205" s="302">
        <f t="shared" si="31"/>
        <v>79.947499999999991</v>
      </c>
      <c r="R205" s="302">
        <f>62/0.94</f>
        <v>65.957446808510639</v>
      </c>
      <c r="S205" s="302">
        <f>70/0.94</f>
        <v>74.468085106382986</v>
      </c>
      <c r="T205" s="302"/>
      <c r="U205" s="302">
        <f>57/0.94</f>
        <v>60.638297872340431</v>
      </c>
      <c r="V205" s="299">
        <f>0.8/0.94</f>
        <v>0.85106382978723416</v>
      </c>
      <c r="W205" s="299">
        <f>8.2/0.94</f>
        <v>8.7234042553191493</v>
      </c>
      <c r="X205" s="299">
        <f>4.71/0.94</f>
        <v>5.0106382978723403</v>
      </c>
      <c r="Y205" s="299">
        <f>2.8/0.94</f>
        <v>2.978723404255319</v>
      </c>
      <c r="Z205" s="304">
        <f>14.1/0.94</f>
        <v>15</v>
      </c>
      <c r="AA205" s="293" t="s">
        <v>309</v>
      </c>
      <c r="AB205" s="310">
        <v>-310</v>
      </c>
      <c r="AC205" s="294"/>
      <c r="AD205" s="295"/>
      <c r="AE205" s="296">
        <f t="shared" si="34"/>
        <v>74.468085106382986</v>
      </c>
      <c r="AF205" s="296">
        <f t="shared" si="35"/>
        <v>35</v>
      </c>
      <c r="AG205" s="296">
        <v>0.1</v>
      </c>
      <c r="AH205" s="296">
        <f>+AF205*AG205</f>
        <v>3.5</v>
      </c>
      <c r="AI205" s="296">
        <f t="shared" si="37"/>
        <v>45</v>
      </c>
      <c r="AJ205" s="296">
        <f>0.9-1.3*AG205</f>
        <v>0.77</v>
      </c>
    </row>
    <row r="206" spans="1:38" s="296" customFormat="1" ht="17.25" customHeight="1" x14ac:dyDescent="0.2">
      <c r="A206" s="727"/>
      <c r="B206" s="297" t="s">
        <v>82</v>
      </c>
      <c r="C206" s="298">
        <v>880</v>
      </c>
      <c r="D206" s="299">
        <v>8.52</v>
      </c>
      <c r="E206" s="299">
        <v>13.44</v>
      </c>
      <c r="F206" s="300">
        <v>235</v>
      </c>
      <c r="G206" s="301">
        <v>0.15</v>
      </c>
      <c r="H206" s="302">
        <f>ROUND((11.93-(6.82*G206))*E206+1.03*G206*F206,0)</f>
        <v>183</v>
      </c>
      <c r="I206" s="303" t="str">
        <f>IF((F206-H206)/6.25&lt;0,ROUND((F206-H206)/6.25,0),"+"&amp;ROUND(((F206-H206)/6.25),0))</f>
        <v>+8</v>
      </c>
      <c r="J206" s="302"/>
      <c r="K206" s="302">
        <v>150</v>
      </c>
      <c r="L206" s="302">
        <v>200</v>
      </c>
      <c r="M206" s="302">
        <f t="shared" si="33"/>
        <v>516</v>
      </c>
      <c r="N206" s="302">
        <v>470</v>
      </c>
      <c r="O206" s="336">
        <v>0.2</v>
      </c>
      <c r="P206" s="302">
        <v>48</v>
      </c>
      <c r="Q206" s="302">
        <f t="shared" si="31"/>
        <v>517.05999999999995</v>
      </c>
      <c r="R206" s="302">
        <v>15</v>
      </c>
      <c r="S206" s="302">
        <v>65</v>
      </c>
      <c r="T206" s="302"/>
      <c r="U206" s="302">
        <v>34</v>
      </c>
      <c r="V206" s="299">
        <v>0.9</v>
      </c>
      <c r="W206" s="299">
        <v>4.8</v>
      </c>
      <c r="X206" s="299">
        <v>0.3</v>
      </c>
      <c r="Y206" s="299">
        <v>1.3</v>
      </c>
      <c r="Z206" s="304">
        <v>11</v>
      </c>
      <c r="AA206" s="293" t="s">
        <v>309</v>
      </c>
      <c r="AB206" s="310">
        <v>140</v>
      </c>
      <c r="AC206" s="294"/>
      <c r="AD206" s="295" t="str">
        <f t="shared" ref="AD206:AD217" si="39">IF(COUNTA(B206:AA206)&lt;21,"x","")</f>
        <v/>
      </c>
      <c r="AE206" s="296">
        <f t="shared" si="34"/>
        <v>65</v>
      </c>
      <c r="AF206" s="296">
        <f t="shared" si="35"/>
        <v>470</v>
      </c>
      <c r="AG206" s="296">
        <v>0.1</v>
      </c>
      <c r="AH206" s="296">
        <f t="shared" si="36"/>
        <v>47</v>
      </c>
      <c r="AI206" s="296">
        <f t="shared" si="37"/>
        <v>48</v>
      </c>
      <c r="AJ206" s="296">
        <f t="shared" si="38"/>
        <v>0.77</v>
      </c>
    </row>
    <row r="207" spans="1:38" s="296" customFormat="1" ht="17.25" customHeight="1" x14ac:dyDescent="0.2">
      <c r="A207" s="727"/>
      <c r="B207" s="297" t="s">
        <v>116</v>
      </c>
      <c r="C207" s="298">
        <v>890</v>
      </c>
      <c r="D207" s="299">
        <v>8.6</v>
      </c>
      <c r="E207" s="299">
        <v>13.8</v>
      </c>
      <c r="F207" s="300">
        <v>570</v>
      </c>
      <c r="G207" s="301">
        <v>0.3</v>
      </c>
      <c r="H207" s="302">
        <f t="shared" ref="H207:H239" si="40">ROUND((11.93-(6.82*G207))*E207+1.03*G207*F207,0)</f>
        <v>313</v>
      </c>
      <c r="I207" s="303" t="str">
        <f t="shared" ref="I207:I239" si="41">IF((F207-H207)/6.25&lt;0,ROUND((F207-H207)/6.25,0),"+"&amp;ROUND(((F207-H207)/6.25),0))</f>
        <v>+41</v>
      </c>
      <c r="J207" s="302"/>
      <c r="K207" s="302">
        <f>S207*1.25</f>
        <v>75</v>
      </c>
      <c r="L207" s="302">
        <f>2.1*S207</f>
        <v>126</v>
      </c>
      <c r="M207" s="302">
        <f t="shared" si="33"/>
        <v>224</v>
      </c>
      <c r="N207" s="302">
        <v>100</v>
      </c>
      <c r="O207" s="336">
        <v>0.1</v>
      </c>
      <c r="P207" s="302">
        <v>115</v>
      </c>
      <c r="Q207" s="302">
        <f t="shared" si="31"/>
        <v>214.9</v>
      </c>
      <c r="R207" s="302">
        <v>15</v>
      </c>
      <c r="S207" s="302">
        <v>60</v>
      </c>
      <c r="T207" s="302"/>
      <c r="U207" s="302">
        <v>65</v>
      </c>
      <c r="V207" s="299">
        <f>1.4/0.92</f>
        <v>1.5217391304347825</v>
      </c>
      <c r="W207" s="299">
        <f>5.9/0.92</f>
        <v>6.4130434782608701</v>
      </c>
      <c r="X207" s="299">
        <f>0.4/0.92</f>
        <v>0.43478260869565216</v>
      </c>
      <c r="Y207" s="299">
        <f>3.3/0.92</f>
        <v>3.5869565217391299</v>
      </c>
      <c r="Z207" s="304">
        <f>11.4/0.92</f>
        <v>12.391304347826086</v>
      </c>
      <c r="AA207" s="293" t="s">
        <v>309</v>
      </c>
      <c r="AB207" s="310" t="s">
        <v>309</v>
      </c>
      <c r="AC207" s="294"/>
      <c r="AD207" s="295" t="str">
        <f t="shared" si="39"/>
        <v/>
      </c>
      <c r="AE207" s="296">
        <f t="shared" si="34"/>
        <v>60</v>
      </c>
      <c r="AF207" s="296">
        <f t="shared" si="35"/>
        <v>100</v>
      </c>
      <c r="AG207" s="296">
        <v>1.25</v>
      </c>
      <c r="AH207" s="296">
        <f t="shared" si="36"/>
        <v>125</v>
      </c>
      <c r="AI207" s="296">
        <f t="shared" si="37"/>
        <v>115</v>
      </c>
      <c r="AJ207" s="296">
        <f t="shared" si="38"/>
        <v>-0.72499999999999998</v>
      </c>
    </row>
    <row r="208" spans="1:38" s="296" customFormat="1" ht="17.25" customHeight="1" x14ac:dyDescent="0.2">
      <c r="A208" s="727"/>
      <c r="B208" s="297" t="s">
        <v>83</v>
      </c>
      <c r="C208" s="298">
        <v>880</v>
      </c>
      <c r="D208" s="299">
        <v>7.9</v>
      </c>
      <c r="E208" s="299">
        <f>D208/0.63</f>
        <v>12.53968253968254</v>
      </c>
      <c r="F208" s="300">
        <v>100</v>
      </c>
      <c r="G208" s="301">
        <v>0.25</v>
      </c>
      <c r="H208" s="302">
        <f t="shared" si="40"/>
        <v>154</v>
      </c>
      <c r="I208" s="303">
        <f t="shared" si="41"/>
        <v>-9</v>
      </c>
      <c r="J208" s="302"/>
      <c r="K208" s="302">
        <v>85</v>
      </c>
      <c r="L208" s="302">
        <v>200</v>
      </c>
      <c r="M208" s="302">
        <f t="shared" si="33"/>
        <v>645</v>
      </c>
      <c r="N208" s="302">
        <v>620</v>
      </c>
      <c r="O208" s="336">
        <v>0.15</v>
      </c>
      <c r="P208" s="302">
        <v>32</v>
      </c>
      <c r="Q208" s="302">
        <f t="shared" si="31"/>
        <v>651.07000000000005</v>
      </c>
      <c r="R208" s="302">
        <v>25</v>
      </c>
      <c r="S208" s="302">
        <v>80</v>
      </c>
      <c r="T208" s="302"/>
      <c r="U208" s="302">
        <v>30</v>
      </c>
      <c r="V208" s="299">
        <v>1.2</v>
      </c>
      <c r="W208" s="299">
        <v>4.9000000000000004</v>
      </c>
      <c r="X208" s="299">
        <v>0.1</v>
      </c>
      <c r="Y208" s="299">
        <v>1.1000000000000001</v>
      </c>
      <c r="Z208" s="304">
        <v>8.4</v>
      </c>
      <c r="AA208" s="293" t="s">
        <v>309</v>
      </c>
      <c r="AB208" s="310">
        <v>5</v>
      </c>
      <c r="AC208" s="294"/>
      <c r="AD208" s="295" t="str">
        <f t="shared" si="39"/>
        <v/>
      </c>
      <c r="AE208" s="296">
        <f t="shared" si="34"/>
        <v>80</v>
      </c>
      <c r="AF208" s="296">
        <f t="shared" si="35"/>
        <v>620</v>
      </c>
      <c r="AG208" s="296">
        <v>0.1</v>
      </c>
      <c r="AH208" s="296">
        <f t="shared" si="36"/>
        <v>62</v>
      </c>
      <c r="AI208" s="296">
        <f t="shared" si="37"/>
        <v>32</v>
      </c>
      <c r="AJ208" s="296">
        <f t="shared" si="38"/>
        <v>0.77</v>
      </c>
    </row>
    <row r="209" spans="1:36" s="296" customFormat="1" ht="17.25" customHeight="1" x14ac:dyDescent="0.2">
      <c r="A209" s="727" t="s">
        <v>529</v>
      </c>
      <c r="B209" s="297" t="s">
        <v>164</v>
      </c>
      <c r="C209" s="298">
        <v>890</v>
      </c>
      <c r="D209" s="299">
        <v>6.58</v>
      </c>
      <c r="E209" s="299">
        <v>10.84</v>
      </c>
      <c r="F209" s="300">
        <v>185</v>
      </c>
      <c r="G209" s="301">
        <v>0.4</v>
      </c>
      <c r="H209" s="302">
        <f t="shared" si="40"/>
        <v>176</v>
      </c>
      <c r="I209" s="303" t="str">
        <f t="shared" si="41"/>
        <v>+1</v>
      </c>
      <c r="J209" s="302"/>
      <c r="K209" s="302">
        <f>1.2*S209</f>
        <v>240</v>
      </c>
      <c r="L209" s="302">
        <f>1.8*S209</f>
        <v>360</v>
      </c>
      <c r="M209" s="302">
        <f t="shared" si="33"/>
        <v>309</v>
      </c>
      <c r="N209" s="302">
        <v>0</v>
      </c>
      <c r="O209" s="336">
        <v>0</v>
      </c>
      <c r="P209" s="302">
        <v>100</v>
      </c>
      <c r="Q209" s="302">
        <f t="shared" si="31"/>
        <v>100</v>
      </c>
      <c r="R209" s="302">
        <v>35</v>
      </c>
      <c r="S209" s="302">
        <v>200</v>
      </c>
      <c r="T209" s="302"/>
      <c r="U209" s="302">
        <v>111</v>
      </c>
      <c r="V209" s="299">
        <v>10</v>
      </c>
      <c r="W209" s="299">
        <v>4</v>
      </c>
      <c r="X209" s="299">
        <v>0.8</v>
      </c>
      <c r="Y209" s="299">
        <v>3.6</v>
      </c>
      <c r="Z209" s="304">
        <v>25</v>
      </c>
      <c r="AA209" s="293" t="s">
        <v>309</v>
      </c>
      <c r="AB209" s="310" t="s">
        <v>309</v>
      </c>
      <c r="AC209" s="294"/>
      <c r="AD209" s="295" t="str">
        <f t="shared" si="39"/>
        <v/>
      </c>
      <c r="AE209" s="296">
        <f t="shared" si="34"/>
        <v>200</v>
      </c>
      <c r="AF209" s="296">
        <f t="shared" si="35"/>
        <v>1E-4</v>
      </c>
      <c r="AG209" s="296">
        <v>1</v>
      </c>
      <c r="AH209" s="296">
        <f t="shared" si="36"/>
        <v>1E-4</v>
      </c>
      <c r="AI209" s="296">
        <f t="shared" si="37"/>
        <v>100</v>
      </c>
      <c r="AJ209" s="296">
        <f t="shared" si="38"/>
        <v>-0.4</v>
      </c>
    </row>
    <row r="210" spans="1:36" s="296" customFormat="1" ht="17.25" customHeight="1" x14ac:dyDescent="0.2">
      <c r="A210" s="727" t="s">
        <v>529</v>
      </c>
      <c r="B210" s="297" t="s">
        <v>165</v>
      </c>
      <c r="C210" s="298">
        <v>890</v>
      </c>
      <c r="D210" s="299">
        <v>5.9</v>
      </c>
      <c r="E210" s="299">
        <v>9.8000000000000007</v>
      </c>
      <c r="F210" s="300">
        <v>200</v>
      </c>
      <c r="G210" s="301">
        <v>0.4</v>
      </c>
      <c r="H210" s="302">
        <f t="shared" si="40"/>
        <v>173</v>
      </c>
      <c r="I210" s="303" t="str">
        <f t="shared" si="41"/>
        <v>+4</v>
      </c>
      <c r="J210" s="302"/>
      <c r="K210" s="302">
        <f>1.2*S210</f>
        <v>246</v>
      </c>
      <c r="L210" s="302">
        <f>1.8*S210</f>
        <v>369</v>
      </c>
      <c r="M210" s="302">
        <f t="shared" si="33"/>
        <v>298</v>
      </c>
      <c r="N210" s="302">
        <v>0</v>
      </c>
      <c r="O210" s="336">
        <v>0</v>
      </c>
      <c r="P210" s="302">
        <v>100</v>
      </c>
      <c r="Q210" s="302">
        <f t="shared" si="31"/>
        <v>100</v>
      </c>
      <c r="R210" s="302">
        <v>35</v>
      </c>
      <c r="S210" s="302">
        <v>205</v>
      </c>
      <c r="T210" s="302"/>
      <c r="U210" s="302">
        <v>98</v>
      </c>
      <c r="V210" s="299">
        <v>10</v>
      </c>
      <c r="W210" s="299">
        <v>4</v>
      </c>
      <c r="X210" s="299">
        <v>0.8</v>
      </c>
      <c r="Y210" s="299">
        <v>3.6</v>
      </c>
      <c r="Z210" s="304">
        <v>25</v>
      </c>
      <c r="AA210" s="293" t="s">
        <v>309</v>
      </c>
      <c r="AB210" s="310" t="s">
        <v>309</v>
      </c>
      <c r="AC210" s="294"/>
      <c r="AD210" s="295" t="str">
        <f t="shared" si="39"/>
        <v/>
      </c>
      <c r="AE210" s="296">
        <f t="shared" si="34"/>
        <v>205</v>
      </c>
      <c r="AF210" s="296">
        <f t="shared" si="35"/>
        <v>1E-4</v>
      </c>
      <c r="AG210" s="296">
        <v>1</v>
      </c>
      <c r="AH210" s="296">
        <f>+AF210*AG210</f>
        <v>1E-4</v>
      </c>
      <c r="AI210" s="296">
        <f t="shared" si="37"/>
        <v>100</v>
      </c>
      <c r="AJ210" s="296">
        <f>0.9-1.3*AG210</f>
        <v>-0.4</v>
      </c>
    </row>
    <row r="211" spans="1:36" s="296" customFormat="1" ht="17.25" customHeight="1" x14ac:dyDescent="0.2">
      <c r="A211" s="727" t="s">
        <v>529</v>
      </c>
      <c r="B211" s="297" t="s">
        <v>166</v>
      </c>
      <c r="C211" s="298">
        <v>890</v>
      </c>
      <c r="D211" s="299">
        <v>5.88</v>
      </c>
      <c r="E211" s="299">
        <v>9.84</v>
      </c>
      <c r="F211" s="300">
        <v>210</v>
      </c>
      <c r="G211" s="301">
        <v>0.4</v>
      </c>
      <c r="H211" s="302">
        <f t="shared" si="40"/>
        <v>177</v>
      </c>
      <c r="I211" s="303" t="str">
        <f t="shared" si="41"/>
        <v>+5</v>
      </c>
      <c r="J211" s="302"/>
      <c r="K211" s="302">
        <f>1.1*S211</f>
        <v>203.50000000000003</v>
      </c>
      <c r="L211" s="302">
        <f>1.5*S211</f>
        <v>277.5</v>
      </c>
      <c r="M211" s="302">
        <f t="shared" si="33"/>
        <v>364.5</v>
      </c>
      <c r="N211" s="302">
        <v>0</v>
      </c>
      <c r="O211" s="336">
        <v>0</v>
      </c>
      <c r="P211" s="302">
        <v>50</v>
      </c>
      <c r="Q211" s="302">
        <f t="shared" si="31"/>
        <v>50</v>
      </c>
      <c r="R211" s="302">
        <v>30</v>
      </c>
      <c r="S211" s="302">
        <v>185</v>
      </c>
      <c r="T211" s="302"/>
      <c r="U211" s="302">
        <v>118</v>
      </c>
      <c r="V211" s="299">
        <v>18</v>
      </c>
      <c r="W211" s="299">
        <v>3.8</v>
      </c>
      <c r="X211" s="299">
        <v>0.5</v>
      </c>
      <c r="Y211" s="299">
        <v>3</v>
      </c>
      <c r="Z211" s="304">
        <v>27</v>
      </c>
      <c r="AA211" s="293" t="s">
        <v>309</v>
      </c>
      <c r="AB211" s="310" t="s">
        <v>309</v>
      </c>
      <c r="AC211" s="294"/>
      <c r="AD211" s="295" t="str">
        <f t="shared" si="39"/>
        <v/>
      </c>
      <c r="AE211" s="296">
        <f t="shared" si="34"/>
        <v>185</v>
      </c>
      <c r="AF211" s="296">
        <f t="shared" si="35"/>
        <v>1E-4</v>
      </c>
      <c r="AG211" s="296">
        <v>1</v>
      </c>
      <c r="AH211" s="296">
        <f t="shared" si="36"/>
        <v>1E-4</v>
      </c>
      <c r="AI211" s="296">
        <f t="shared" si="37"/>
        <v>50</v>
      </c>
      <c r="AJ211" s="296">
        <f t="shared" si="38"/>
        <v>-0.4</v>
      </c>
    </row>
    <row r="212" spans="1:36" s="296" customFormat="1" ht="17.25" customHeight="1" x14ac:dyDescent="0.2">
      <c r="A212" s="727"/>
      <c r="B212" s="297" t="s">
        <v>84</v>
      </c>
      <c r="C212" s="298">
        <v>880</v>
      </c>
      <c r="D212" s="299">
        <v>6.97</v>
      </c>
      <c r="E212" s="299">
        <v>11.53</v>
      </c>
      <c r="F212" s="300">
        <v>123</v>
      </c>
      <c r="G212" s="301">
        <v>0.15</v>
      </c>
      <c r="H212" s="302">
        <f t="shared" si="40"/>
        <v>145</v>
      </c>
      <c r="I212" s="303">
        <f t="shared" si="41"/>
        <v>-4</v>
      </c>
      <c r="J212" s="302"/>
      <c r="K212" s="302">
        <f>1.4*S212</f>
        <v>154</v>
      </c>
      <c r="L212" s="302">
        <f>2.8*S212</f>
        <v>308</v>
      </c>
      <c r="M212" s="302">
        <f t="shared" si="33"/>
        <v>486</v>
      </c>
      <c r="N212" s="302">
        <v>453</v>
      </c>
      <c r="O212" s="336">
        <v>0.1</v>
      </c>
      <c r="P212" s="302">
        <v>16</v>
      </c>
      <c r="Q212" s="302">
        <f t="shared" si="31"/>
        <v>468.54700000000003</v>
      </c>
      <c r="R212" s="302">
        <v>50</v>
      </c>
      <c r="S212" s="302">
        <v>110</v>
      </c>
      <c r="T212" s="302"/>
      <c r="U212" s="302">
        <v>33</v>
      </c>
      <c r="V212" s="299">
        <v>1.2</v>
      </c>
      <c r="W212" s="299">
        <v>3.6</v>
      </c>
      <c r="X212" s="299">
        <v>0.4</v>
      </c>
      <c r="Y212" s="299">
        <f>1.136*1.1</f>
        <v>1.2496</v>
      </c>
      <c r="Z212" s="304">
        <f>4.4/0.88</f>
        <v>5</v>
      </c>
      <c r="AA212" s="293" t="s">
        <v>309</v>
      </c>
      <c r="AB212" s="310">
        <v>-40</v>
      </c>
      <c r="AC212" s="294"/>
      <c r="AD212" s="295" t="str">
        <f t="shared" si="39"/>
        <v/>
      </c>
      <c r="AE212" s="296">
        <f t="shared" si="34"/>
        <v>110</v>
      </c>
      <c r="AF212" s="296">
        <f t="shared" si="35"/>
        <v>453</v>
      </c>
      <c r="AG212" s="296">
        <v>0.15</v>
      </c>
      <c r="AH212" s="296">
        <f t="shared" si="36"/>
        <v>67.95</v>
      </c>
      <c r="AI212" s="296">
        <f t="shared" si="37"/>
        <v>16</v>
      </c>
      <c r="AJ212" s="296">
        <f t="shared" si="38"/>
        <v>0.70500000000000007</v>
      </c>
    </row>
    <row r="213" spans="1:36" s="296" customFormat="1" ht="17.25" customHeight="1" x14ac:dyDescent="0.2">
      <c r="A213" s="727"/>
      <c r="B213" s="297" t="s">
        <v>110</v>
      </c>
      <c r="C213" s="298">
        <v>910</v>
      </c>
      <c r="D213" s="299">
        <v>4</v>
      </c>
      <c r="E213" s="299">
        <f>D213/0.6</f>
        <v>6.666666666666667</v>
      </c>
      <c r="F213" s="300">
        <v>90</v>
      </c>
      <c r="G213" s="301">
        <v>0.15</v>
      </c>
      <c r="H213" s="302">
        <f t="shared" si="40"/>
        <v>87</v>
      </c>
      <c r="I213" s="303" t="str">
        <f t="shared" si="41"/>
        <v>+0</v>
      </c>
      <c r="J213" s="302"/>
      <c r="K213" s="302">
        <f>1.2*S213</f>
        <v>264</v>
      </c>
      <c r="L213" s="302">
        <f>2.3*S213</f>
        <v>505.99999999999994</v>
      </c>
      <c r="M213" s="302">
        <f t="shared" si="33"/>
        <v>331.00000000000006</v>
      </c>
      <c r="N213" s="302">
        <v>170</v>
      </c>
      <c r="O213" s="336">
        <v>0.1</v>
      </c>
      <c r="P213" s="302">
        <v>10</v>
      </c>
      <c r="Q213" s="302">
        <f t="shared" si="31"/>
        <v>179.83</v>
      </c>
      <c r="R213" s="302">
        <v>30</v>
      </c>
      <c r="S213" s="302">
        <v>220</v>
      </c>
      <c r="T213" s="302"/>
      <c r="U213" s="302">
        <v>43</v>
      </c>
      <c r="V213" s="299">
        <v>1.1000000000000001</v>
      </c>
      <c r="W213" s="299">
        <v>3</v>
      </c>
      <c r="X213" s="299">
        <v>0.1</v>
      </c>
      <c r="Y213" s="299">
        <v>1.1000000000000001</v>
      </c>
      <c r="Z213" s="304">
        <v>5.0999999999999996</v>
      </c>
      <c r="AA213" s="293" t="s">
        <v>309</v>
      </c>
      <c r="AB213" s="310" t="s">
        <v>309</v>
      </c>
      <c r="AC213" s="294"/>
      <c r="AD213" s="295" t="str">
        <f t="shared" si="39"/>
        <v/>
      </c>
      <c r="AE213" s="296">
        <f t="shared" si="34"/>
        <v>220</v>
      </c>
      <c r="AF213" s="296">
        <f t="shared" si="35"/>
        <v>170</v>
      </c>
      <c r="AG213" s="296">
        <v>0.15</v>
      </c>
      <c r="AH213" s="296">
        <f t="shared" si="36"/>
        <v>25.5</v>
      </c>
      <c r="AI213" s="296">
        <f t="shared" si="37"/>
        <v>10</v>
      </c>
      <c r="AJ213" s="296">
        <f t="shared" si="38"/>
        <v>0.70500000000000007</v>
      </c>
    </row>
    <row r="214" spans="1:36" s="296" customFormat="1" ht="17.25" customHeight="1" x14ac:dyDescent="0.2">
      <c r="A214" s="727"/>
      <c r="B214" s="297" t="s">
        <v>117</v>
      </c>
      <c r="C214" s="298">
        <v>900</v>
      </c>
      <c r="D214" s="299">
        <v>6.7</v>
      </c>
      <c r="E214" s="299">
        <f>D214/0.6</f>
        <v>11.166666666666668</v>
      </c>
      <c r="F214" s="300">
        <v>235</v>
      </c>
      <c r="G214" s="301">
        <v>0.5</v>
      </c>
      <c r="H214" s="302">
        <f>ROUND((11.93-(6.82*G214))*E214+1.03*G214*F214,0)</f>
        <v>216</v>
      </c>
      <c r="I214" s="303" t="str">
        <f>IF((F214-H214)/6.25&lt;0,ROUND((F214-H214)/6.25,0),"+"&amp;ROUND(((F214-H214)/6.25),0))</f>
        <v>+3</v>
      </c>
      <c r="J214" s="302"/>
      <c r="K214" s="302">
        <v>350</v>
      </c>
      <c r="L214" s="302">
        <v>665</v>
      </c>
      <c r="M214" s="302">
        <f t="shared" si="33"/>
        <v>0</v>
      </c>
      <c r="N214" s="302">
        <v>0</v>
      </c>
      <c r="O214" s="336">
        <v>0</v>
      </c>
      <c r="P214" s="302">
        <v>120</v>
      </c>
      <c r="Q214" s="302">
        <f t="shared" si="31"/>
        <v>120</v>
      </c>
      <c r="R214" s="302">
        <v>25</v>
      </c>
      <c r="S214" s="302">
        <v>170</v>
      </c>
      <c r="T214" s="302"/>
      <c r="U214" s="302">
        <v>75</v>
      </c>
      <c r="V214" s="299">
        <v>1.8</v>
      </c>
      <c r="W214" s="299">
        <f>5.9/0.9</f>
        <v>6.5555555555555554</v>
      </c>
      <c r="X214" s="299">
        <f>0.85/0.9</f>
        <v>0.94444444444444442</v>
      </c>
      <c r="Y214" s="299">
        <v>3.9</v>
      </c>
      <c r="Z214" s="304">
        <v>18</v>
      </c>
      <c r="AA214" s="293" t="s">
        <v>309</v>
      </c>
      <c r="AB214" s="310" t="s">
        <v>309</v>
      </c>
      <c r="AC214" s="294"/>
      <c r="AD214" s="295" t="str">
        <f t="shared" si="39"/>
        <v/>
      </c>
      <c r="AE214" s="296">
        <f t="shared" si="34"/>
        <v>170</v>
      </c>
      <c r="AF214" s="296">
        <f t="shared" si="35"/>
        <v>1E-4</v>
      </c>
      <c r="AG214" s="296">
        <v>1</v>
      </c>
      <c r="AH214" s="296">
        <f>+AF214*AG214</f>
        <v>1E-4</v>
      </c>
      <c r="AI214" s="296">
        <f t="shared" si="37"/>
        <v>120</v>
      </c>
      <c r="AJ214" s="296">
        <f>0.9-1.3*AG214</f>
        <v>-0.4</v>
      </c>
    </row>
    <row r="215" spans="1:36" s="296" customFormat="1" ht="17.25" customHeight="1" x14ac:dyDescent="0.2">
      <c r="A215" s="727"/>
      <c r="B215" s="297" t="s">
        <v>170</v>
      </c>
      <c r="C215" s="298">
        <v>890</v>
      </c>
      <c r="D215" s="299">
        <v>7.3</v>
      </c>
      <c r="E215" s="299">
        <v>12</v>
      </c>
      <c r="F215" s="300">
        <v>385</v>
      </c>
      <c r="G215" s="301">
        <v>0.3</v>
      </c>
      <c r="H215" s="302">
        <f t="shared" si="40"/>
        <v>238</v>
      </c>
      <c r="I215" s="303" t="str">
        <f t="shared" si="41"/>
        <v>+24</v>
      </c>
      <c r="J215" s="302"/>
      <c r="K215" s="302">
        <v>185</v>
      </c>
      <c r="L215" s="302">
        <v>310</v>
      </c>
      <c r="M215" s="302">
        <f t="shared" si="33"/>
        <v>199</v>
      </c>
      <c r="N215" s="302">
        <v>0</v>
      </c>
      <c r="O215" s="336">
        <v>0</v>
      </c>
      <c r="P215" s="302">
        <v>65</v>
      </c>
      <c r="Q215" s="302">
        <f t="shared" si="31"/>
        <v>65</v>
      </c>
      <c r="R215" s="302">
        <v>40</v>
      </c>
      <c r="S215" s="302">
        <v>105</v>
      </c>
      <c r="T215" s="302"/>
      <c r="U215" s="302">
        <v>66</v>
      </c>
      <c r="V215" s="299">
        <v>4</v>
      </c>
      <c r="W215" s="299">
        <v>9.6999999999999993</v>
      </c>
      <c r="X215" s="299">
        <v>1</v>
      </c>
      <c r="Y215" s="299">
        <v>5.6</v>
      </c>
      <c r="Z215" s="304">
        <v>12</v>
      </c>
      <c r="AA215" s="293" t="s">
        <v>309</v>
      </c>
      <c r="AB215" s="310">
        <v>80</v>
      </c>
      <c r="AC215" s="294"/>
      <c r="AD215" s="295" t="str">
        <f t="shared" si="39"/>
        <v/>
      </c>
      <c r="AE215" s="296">
        <f t="shared" si="34"/>
        <v>105</v>
      </c>
      <c r="AF215" s="296">
        <f t="shared" si="35"/>
        <v>1E-4</v>
      </c>
      <c r="AG215" s="296">
        <v>1</v>
      </c>
      <c r="AH215" s="296">
        <f t="shared" si="36"/>
        <v>1E-4</v>
      </c>
      <c r="AI215" s="296">
        <f t="shared" si="37"/>
        <v>65</v>
      </c>
      <c r="AJ215" s="296">
        <f t="shared" si="38"/>
        <v>-0.4</v>
      </c>
    </row>
    <row r="216" spans="1:36" s="296" customFormat="1" ht="17.25" customHeight="1" x14ac:dyDescent="0.2">
      <c r="A216" s="727"/>
      <c r="B216" s="297" t="s">
        <v>168</v>
      </c>
      <c r="C216" s="298">
        <v>880</v>
      </c>
      <c r="D216" s="299">
        <v>8.9</v>
      </c>
      <c r="E216" s="299">
        <v>14.73</v>
      </c>
      <c r="F216" s="300">
        <v>376</v>
      </c>
      <c r="G216" s="301">
        <v>0.2</v>
      </c>
      <c r="H216" s="302">
        <f>ROUND((11.93-(6.82*G216))*E216+1.03*G216*F216,0)</f>
        <v>233</v>
      </c>
      <c r="I216" s="303" t="str">
        <f>IF((F216-H216)/6.25&lt;0,ROUND((F216-H216)/6.25,0),"+"&amp;ROUND(((F216-H216)/6.25),0))</f>
        <v>+23</v>
      </c>
      <c r="J216" s="302"/>
      <c r="K216" s="302">
        <f>1.2*S216</f>
        <v>162</v>
      </c>
      <c r="L216" s="302">
        <f>1.7*S216</f>
        <v>229.5</v>
      </c>
      <c r="M216" s="302">
        <f t="shared" si="33"/>
        <v>269.5</v>
      </c>
      <c r="N216" s="302">
        <v>92</v>
      </c>
      <c r="O216" s="336">
        <v>0.1</v>
      </c>
      <c r="P216" s="302">
        <v>65</v>
      </c>
      <c r="Q216" s="302">
        <f t="shared" si="31"/>
        <v>156.90800000000002</v>
      </c>
      <c r="R216" s="302">
        <v>90</v>
      </c>
      <c r="S216" s="302">
        <v>135</v>
      </c>
      <c r="T216" s="302"/>
      <c r="U216" s="302">
        <v>35</v>
      </c>
      <c r="V216" s="299">
        <v>2.9</v>
      </c>
      <c r="W216" s="299">
        <v>5.0999999999999996</v>
      </c>
      <c r="X216" s="299">
        <v>0.6</v>
      </c>
      <c r="Y216" s="299">
        <v>2</v>
      </c>
      <c r="Z216" s="304">
        <v>10</v>
      </c>
      <c r="AA216" s="293" t="s">
        <v>309</v>
      </c>
      <c r="AB216" s="310" t="s">
        <v>309</v>
      </c>
      <c r="AC216" s="294"/>
      <c r="AD216" s="295" t="str">
        <f t="shared" si="39"/>
        <v/>
      </c>
      <c r="AE216" s="296">
        <f t="shared" si="34"/>
        <v>135</v>
      </c>
      <c r="AF216" s="296">
        <f t="shared" si="35"/>
        <v>92</v>
      </c>
      <c r="AG216" s="296">
        <v>0.15</v>
      </c>
      <c r="AH216" s="296">
        <f>+AF216*AG216</f>
        <v>13.799999999999999</v>
      </c>
      <c r="AI216" s="296">
        <f t="shared" si="37"/>
        <v>65</v>
      </c>
      <c r="AJ216" s="296">
        <f>0.9-1.3*AG216</f>
        <v>0.70500000000000007</v>
      </c>
    </row>
    <row r="217" spans="1:36" s="296" customFormat="1" ht="17.25" customHeight="1" x14ac:dyDescent="0.2">
      <c r="A217" s="727"/>
      <c r="B217" s="297" t="s">
        <v>85</v>
      </c>
      <c r="C217" s="298">
        <v>880</v>
      </c>
      <c r="D217" s="299">
        <v>8.3800000000000008</v>
      </c>
      <c r="E217" s="299">
        <v>13.28</v>
      </c>
      <c r="F217" s="300">
        <v>90</v>
      </c>
      <c r="G217" s="301">
        <v>0.5</v>
      </c>
      <c r="H217" s="302">
        <f t="shared" si="40"/>
        <v>159</v>
      </c>
      <c r="I217" s="303">
        <f t="shared" si="41"/>
        <v>-11</v>
      </c>
      <c r="J217" s="302"/>
      <c r="K217" s="302">
        <f>1.1*S217</f>
        <v>27.500000000000004</v>
      </c>
      <c r="L217" s="302">
        <f>4.4*S217</f>
        <v>110.00000000000001</v>
      </c>
      <c r="M217" s="302">
        <f t="shared" si="33"/>
        <v>738</v>
      </c>
      <c r="N217" s="302">
        <v>700</v>
      </c>
      <c r="O217" s="336">
        <v>0.42</v>
      </c>
      <c r="P217" s="302">
        <v>19</v>
      </c>
      <c r="Q217" s="302">
        <f t="shared" si="31"/>
        <v>716.06</v>
      </c>
      <c r="R217" s="302">
        <v>45</v>
      </c>
      <c r="S217" s="302">
        <v>25</v>
      </c>
      <c r="T217" s="302"/>
      <c r="U217" s="302">
        <v>17</v>
      </c>
      <c r="V217" s="299">
        <v>0.4</v>
      </c>
      <c r="W217" s="299">
        <v>3.5</v>
      </c>
      <c r="X217" s="299">
        <v>0.2</v>
      </c>
      <c r="Y217" s="299">
        <v>1.3</v>
      </c>
      <c r="Z217" s="304">
        <v>4</v>
      </c>
      <c r="AA217" s="293" t="s">
        <v>309</v>
      </c>
      <c r="AB217" s="310">
        <v>-35</v>
      </c>
      <c r="AC217" s="294"/>
      <c r="AD217" s="295" t="str">
        <f t="shared" si="39"/>
        <v/>
      </c>
      <c r="AE217" s="296">
        <f t="shared" si="34"/>
        <v>25</v>
      </c>
      <c r="AF217" s="296">
        <f t="shared" si="35"/>
        <v>700</v>
      </c>
      <c r="AG217" s="296">
        <v>0.4</v>
      </c>
      <c r="AH217" s="296">
        <f t="shared" si="36"/>
        <v>280</v>
      </c>
      <c r="AI217" s="296">
        <f t="shared" si="37"/>
        <v>19</v>
      </c>
      <c r="AJ217" s="296">
        <f t="shared" si="38"/>
        <v>0.38</v>
      </c>
    </row>
    <row r="218" spans="1:36" s="296" customFormat="1" ht="17.25" customHeight="1" x14ac:dyDescent="0.2">
      <c r="A218" s="727"/>
      <c r="B218" s="297" t="s">
        <v>190</v>
      </c>
      <c r="C218" s="298">
        <v>890</v>
      </c>
      <c r="D218" s="299">
        <f>8.6/0.89</f>
        <v>9.6629213483146064</v>
      </c>
      <c r="E218" s="299">
        <f>D218/0.6</f>
        <v>16.104868913857679</v>
      </c>
      <c r="F218" s="300">
        <f>126/0.89</f>
        <v>141.57303370786516</v>
      </c>
      <c r="G218" s="301">
        <v>0.4</v>
      </c>
      <c r="H218" s="302">
        <f>ROUND((11.93-(6.82*G218))*E218+1.03*G218*F218,0)</f>
        <v>207</v>
      </c>
      <c r="I218" s="303">
        <f>IF((F218-H218)/6.25&lt;0,ROUND((F218-H218)/6.25,0),"+"&amp;ROUND(((F218-H218)/6.25),0))</f>
        <v>-10</v>
      </c>
      <c r="J218" s="302"/>
      <c r="K218" s="302">
        <f>93/0.89</f>
        <v>104.49438202247191</v>
      </c>
      <c r="L218" s="302">
        <f>253/0.89</f>
        <v>284.2696629213483</v>
      </c>
      <c r="M218" s="302">
        <f t="shared" si="33"/>
        <v>306.74157303370788</v>
      </c>
      <c r="N218" s="302">
        <v>500</v>
      </c>
      <c r="O218" s="336">
        <v>0.42</v>
      </c>
      <c r="P218" s="302">
        <v>70</v>
      </c>
      <c r="Q218" s="302">
        <f t="shared" si="31"/>
        <v>567.9</v>
      </c>
      <c r="R218" s="302">
        <f>189/0.89</f>
        <v>212.35955056179776</v>
      </c>
      <c r="S218" s="302">
        <f>43/0.89</f>
        <v>48.31460674157303</v>
      </c>
      <c r="T218" s="302"/>
      <c r="U218" s="302">
        <f>49/0.89</f>
        <v>55.056179775280896</v>
      </c>
      <c r="V218" s="299">
        <f>0.6/0.89</f>
        <v>0.6741573033707865</v>
      </c>
      <c r="W218" s="299">
        <f>12.3/0.89</f>
        <v>13.820224719101125</v>
      </c>
      <c r="X218" s="299">
        <f>0.03/0.89</f>
        <v>3.3707865168539325E-2</v>
      </c>
      <c r="Y218" s="299">
        <f>5/0.89</f>
        <v>5.6179775280898872</v>
      </c>
      <c r="Z218" s="304">
        <f>10.9/0.89</f>
        <v>12.247191011235955</v>
      </c>
      <c r="AA218" s="293" t="s">
        <v>309</v>
      </c>
      <c r="AB218" s="310" t="s">
        <v>309</v>
      </c>
      <c r="AC218" s="294"/>
      <c r="AD218" s="295"/>
      <c r="AE218" s="296">
        <f t="shared" si="34"/>
        <v>48.31460674157303</v>
      </c>
      <c r="AF218" s="296">
        <f t="shared" si="35"/>
        <v>500</v>
      </c>
      <c r="AG218" s="296">
        <v>0.4</v>
      </c>
      <c r="AH218" s="296">
        <f>+AF218*AG218</f>
        <v>200</v>
      </c>
      <c r="AI218" s="296">
        <f t="shared" si="37"/>
        <v>70</v>
      </c>
      <c r="AJ218" s="296">
        <f>0.9-1.3*AG218</f>
        <v>0.38</v>
      </c>
    </row>
    <row r="219" spans="1:36" s="296" customFormat="1" ht="17.25" customHeight="1" x14ac:dyDescent="0.2">
      <c r="A219" s="727"/>
      <c r="B219" s="297" t="s">
        <v>111</v>
      </c>
      <c r="C219" s="298">
        <v>900</v>
      </c>
      <c r="D219" s="299">
        <v>8.5</v>
      </c>
      <c r="E219" s="299">
        <f>D219*0.63</f>
        <v>5.3550000000000004</v>
      </c>
      <c r="F219" s="300">
        <v>600</v>
      </c>
      <c r="G219" s="301">
        <v>0.7</v>
      </c>
      <c r="H219" s="302">
        <f t="shared" si="40"/>
        <v>471</v>
      </c>
      <c r="I219" s="303" t="str">
        <f t="shared" si="41"/>
        <v>+21</v>
      </c>
      <c r="J219" s="302"/>
      <c r="K219" s="302">
        <v>90</v>
      </c>
      <c r="L219" s="302">
        <v>320</v>
      </c>
      <c r="M219" s="302">
        <f t="shared" si="33"/>
        <v>5</v>
      </c>
      <c r="N219" s="302">
        <v>145</v>
      </c>
      <c r="O219" s="336">
        <v>0.2</v>
      </c>
      <c r="P219" s="302">
        <v>5</v>
      </c>
      <c r="Q219" s="302">
        <f t="shared" si="31"/>
        <v>149.71</v>
      </c>
      <c r="R219" s="302">
        <v>55</v>
      </c>
      <c r="S219" s="302">
        <v>10</v>
      </c>
      <c r="T219" s="302"/>
      <c r="U219" s="302">
        <v>20</v>
      </c>
      <c r="V219" s="299">
        <v>0.8</v>
      </c>
      <c r="W219" s="299">
        <v>4.5999999999999996</v>
      </c>
      <c r="X219" s="299">
        <v>0.2</v>
      </c>
      <c r="Y219" s="299">
        <f>0.3/0.9</f>
        <v>0.33333333333333331</v>
      </c>
      <c r="Z219" s="304">
        <v>1</v>
      </c>
      <c r="AA219" s="293" t="s">
        <v>309</v>
      </c>
      <c r="AB219" s="310" t="s">
        <v>309</v>
      </c>
      <c r="AC219" s="294"/>
      <c r="AD219" s="295" t="str">
        <f t="shared" ref="AD219:AD236" si="42">IF(COUNTA(B219:AA219)&lt;21,"x","")</f>
        <v/>
      </c>
      <c r="AE219" s="296">
        <f t="shared" si="34"/>
        <v>10</v>
      </c>
      <c r="AF219" s="296">
        <f t="shared" si="35"/>
        <v>145</v>
      </c>
      <c r="AG219" s="296">
        <v>0.15</v>
      </c>
      <c r="AH219" s="296">
        <f t="shared" si="36"/>
        <v>21.75</v>
      </c>
      <c r="AI219" s="296">
        <f t="shared" si="37"/>
        <v>5</v>
      </c>
      <c r="AJ219" s="296">
        <f t="shared" si="38"/>
        <v>0.70500000000000007</v>
      </c>
    </row>
    <row r="220" spans="1:36" s="296" customFormat="1" ht="17.25" customHeight="1" x14ac:dyDescent="0.2">
      <c r="A220" s="727"/>
      <c r="B220" s="297" t="s">
        <v>106</v>
      </c>
      <c r="C220" s="298">
        <v>890</v>
      </c>
      <c r="D220" s="299">
        <v>7.69</v>
      </c>
      <c r="E220" s="299">
        <v>12.43</v>
      </c>
      <c r="F220" s="300">
        <v>260</v>
      </c>
      <c r="G220" s="301">
        <v>0.25</v>
      </c>
      <c r="H220" s="302">
        <f t="shared" si="40"/>
        <v>194</v>
      </c>
      <c r="I220" s="303" t="str">
        <f t="shared" si="41"/>
        <v>+11</v>
      </c>
      <c r="J220" s="302"/>
      <c r="K220" s="302">
        <f>1.3*S220</f>
        <v>117</v>
      </c>
      <c r="L220" s="302">
        <f>2.8*S220</f>
        <v>251.99999999999997</v>
      </c>
      <c r="M220" s="302">
        <f t="shared" si="33"/>
        <v>388</v>
      </c>
      <c r="N220" s="302">
        <v>205</v>
      </c>
      <c r="O220" s="336">
        <v>0.21</v>
      </c>
      <c r="P220" s="302">
        <v>20</v>
      </c>
      <c r="Q220" s="302">
        <f t="shared" si="31"/>
        <v>224.56950000000001</v>
      </c>
      <c r="R220" s="302">
        <v>40</v>
      </c>
      <c r="S220" s="302">
        <v>90</v>
      </c>
      <c r="T220" s="302"/>
      <c r="U220" s="302">
        <v>60</v>
      </c>
      <c r="V220" s="299">
        <v>1.5</v>
      </c>
      <c r="W220" s="299">
        <v>9.5</v>
      </c>
      <c r="X220" s="299">
        <v>2.8</v>
      </c>
      <c r="Y220" s="299">
        <v>4.8</v>
      </c>
      <c r="Z220" s="304">
        <v>14</v>
      </c>
      <c r="AA220" s="293" t="s">
        <v>309</v>
      </c>
      <c r="AB220" s="310">
        <v>100</v>
      </c>
      <c r="AC220" s="294"/>
      <c r="AD220" s="295" t="str">
        <f t="shared" si="42"/>
        <v/>
      </c>
      <c r="AE220" s="296">
        <f t="shared" si="34"/>
        <v>90</v>
      </c>
      <c r="AF220" s="296">
        <f t="shared" si="35"/>
        <v>205</v>
      </c>
      <c r="AG220" s="296">
        <v>0.15</v>
      </c>
      <c r="AH220" s="296">
        <f t="shared" si="36"/>
        <v>30.75</v>
      </c>
      <c r="AI220" s="296">
        <f t="shared" si="37"/>
        <v>20</v>
      </c>
      <c r="AJ220" s="296">
        <f t="shared" si="38"/>
        <v>0.70500000000000007</v>
      </c>
    </row>
    <row r="221" spans="1:36" s="296" customFormat="1" ht="17.25" customHeight="1" x14ac:dyDescent="0.2">
      <c r="A221" s="727"/>
      <c r="B221" s="297" t="s">
        <v>167</v>
      </c>
      <c r="C221" s="298">
        <v>890</v>
      </c>
      <c r="D221" s="299">
        <v>6.57</v>
      </c>
      <c r="E221" s="299">
        <v>10.85</v>
      </c>
      <c r="F221" s="300">
        <v>85</v>
      </c>
      <c r="G221" s="301">
        <v>0.3</v>
      </c>
      <c r="H221" s="302">
        <f t="shared" si="40"/>
        <v>134</v>
      </c>
      <c r="I221" s="303">
        <f t="shared" si="41"/>
        <v>-8</v>
      </c>
      <c r="J221" s="302"/>
      <c r="K221" s="302">
        <f>1.1*S221</f>
        <v>209.00000000000003</v>
      </c>
      <c r="L221" s="302">
        <f>2*S221</f>
        <v>380</v>
      </c>
      <c r="M221" s="302">
        <f t="shared" si="33"/>
        <v>454</v>
      </c>
      <c r="N221" s="302">
        <v>400</v>
      </c>
      <c r="O221" s="336">
        <v>0.2</v>
      </c>
      <c r="P221" s="302">
        <v>15</v>
      </c>
      <c r="Q221" s="302">
        <f t="shared" si="31"/>
        <v>414.2</v>
      </c>
      <c r="R221" s="302">
        <v>25</v>
      </c>
      <c r="S221" s="302">
        <v>190</v>
      </c>
      <c r="T221" s="302"/>
      <c r="U221" s="302">
        <v>56</v>
      </c>
      <c r="V221" s="299">
        <v>2</v>
      </c>
      <c r="W221" s="299">
        <v>2.1</v>
      </c>
      <c r="X221" s="299">
        <v>0.3</v>
      </c>
      <c r="Y221" s="299">
        <v>1.3</v>
      </c>
      <c r="Z221" s="304">
        <v>11</v>
      </c>
      <c r="AA221" s="293" t="s">
        <v>309</v>
      </c>
      <c r="AB221" s="310" t="s">
        <v>309</v>
      </c>
      <c r="AC221" s="294"/>
      <c r="AD221" s="295" t="str">
        <f t="shared" si="42"/>
        <v/>
      </c>
      <c r="AE221" s="296">
        <f t="shared" si="34"/>
        <v>190</v>
      </c>
      <c r="AF221" s="296">
        <f t="shared" si="35"/>
        <v>400</v>
      </c>
      <c r="AG221" s="296">
        <v>0.3</v>
      </c>
      <c r="AH221" s="296">
        <f t="shared" si="36"/>
        <v>120</v>
      </c>
      <c r="AI221" s="296">
        <f t="shared" si="37"/>
        <v>15</v>
      </c>
      <c r="AJ221" s="296">
        <f t="shared" si="38"/>
        <v>0.51</v>
      </c>
    </row>
    <row r="222" spans="1:36" s="296" customFormat="1" ht="17.25" customHeight="1" x14ac:dyDescent="0.2">
      <c r="A222" s="727"/>
      <c r="B222" s="297" t="s">
        <v>192</v>
      </c>
      <c r="C222" s="298">
        <v>920</v>
      </c>
      <c r="D222" s="299">
        <v>5.9</v>
      </c>
      <c r="E222" s="299">
        <v>10</v>
      </c>
      <c r="F222" s="300">
        <v>297</v>
      </c>
      <c r="G222" s="301">
        <v>0.25</v>
      </c>
      <c r="H222" s="302">
        <f t="shared" si="40"/>
        <v>179</v>
      </c>
      <c r="I222" s="303" t="str">
        <f t="shared" si="41"/>
        <v>+19</v>
      </c>
      <c r="J222" s="302"/>
      <c r="K222" s="302">
        <f>181/1.06</f>
        <v>170.75471698113208</v>
      </c>
      <c r="L222" s="302">
        <f>433/1.06</f>
        <v>408.49056603773585</v>
      </c>
      <c r="M222" s="302">
        <f t="shared" si="33"/>
        <v>226.50943396226415</v>
      </c>
      <c r="N222" s="302">
        <v>46</v>
      </c>
      <c r="O222" s="336">
        <v>0.1</v>
      </c>
      <c r="P222" s="302">
        <v>139</v>
      </c>
      <c r="Q222" s="302">
        <f t="shared" si="31"/>
        <v>184.95400000000001</v>
      </c>
      <c r="R222" s="302">
        <v>11</v>
      </c>
      <c r="S222" s="302">
        <v>150</v>
      </c>
      <c r="T222" s="302"/>
      <c r="U222" s="302">
        <v>57</v>
      </c>
      <c r="V222" s="299">
        <v>0.7</v>
      </c>
      <c r="W222" s="299">
        <v>5.6</v>
      </c>
      <c r="X222" s="299">
        <v>0.5</v>
      </c>
      <c r="Y222" s="299">
        <v>0.4</v>
      </c>
      <c r="Z222" s="304">
        <v>2.6</v>
      </c>
      <c r="AA222" s="293" t="s">
        <v>309</v>
      </c>
      <c r="AB222" s="310" t="s">
        <v>309</v>
      </c>
      <c r="AC222" s="294"/>
      <c r="AD222" s="295" t="str">
        <f t="shared" si="42"/>
        <v/>
      </c>
      <c r="AE222" s="296">
        <f t="shared" si="34"/>
        <v>150</v>
      </c>
      <c r="AF222" s="296">
        <v>46</v>
      </c>
      <c r="AG222" s="296">
        <v>0.1</v>
      </c>
      <c r="AH222" s="296">
        <f>+AF222*AG222</f>
        <v>4.6000000000000005</v>
      </c>
      <c r="AI222" s="296">
        <f t="shared" si="37"/>
        <v>139</v>
      </c>
      <c r="AJ222" s="296">
        <f>0.9-1.3*AG222</f>
        <v>0.77</v>
      </c>
    </row>
    <row r="223" spans="1:36" s="296" customFormat="1" ht="17.25" customHeight="1" x14ac:dyDescent="0.2">
      <c r="A223" s="727"/>
      <c r="B223" s="297" t="s">
        <v>119</v>
      </c>
      <c r="C223" s="298">
        <v>786</v>
      </c>
      <c r="D223" s="299">
        <v>7.6</v>
      </c>
      <c r="E223" s="299">
        <v>11.9</v>
      </c>
      <c r="F223" s="300">
        <v>135</v>
      </c>
      <c r="G223" s="301">
        <v>0.2</v>
      </c>
      <c r="H223" s="302">
        <v>153</v>
      </c>
      <c r="I223" s="303">
        <f t="shared" si="41"/>
        <v>-3</v>
      </c>
      <c r="J223" s="302"/>
      <c r="K223" s="302">
        <v>0</v>
      </c>
      <c r="L223" s="302">
        <v>0</v>
      </c>
      <c r="M223" s="302">
        <f t="shared" si="33"/>
        <v>746</v>
      </c>
      <c r="N223" s="302">
        <v>0</v>
      </c>
      <c r="O223" s="336">
        <v>0</v>
      </c>
      <c r="P223" s="302">
        <v>654</v>
      </c>
      <c r="Q223" s="302">
        <f t="shared" si="31"/>
        <v>654</v>
      </c>
      <c r="R223" s="302">
        <v>3</v>
      </c>
      <c r="S223" s="302">
        <v>5</v>
      </c>
      <c r="T223" s="302"/>
      <c r="U223" s="302">
        <v>116</v>
      </c>
      <c r="V223" s="299">
        <v>2.5</v>
      </c>
      <c r="W223" s="299">
        <v>0.5</v>
      </c>
      <c r="X223" s="299">
        <v>7.6</v>
      </c>
      <c r="Y223" s="299">
        <v>0.2</v>
      </c>
      <c r="Z223" s="304">
        <v>54.1</v>
      </c>
      <c r="AA223" s="293">
        <v>0.1</v>
      </c>
      <c r="AB223" s="310">
        <v>1332</v>
      </c>
      <c r="AC223" s="294"/>
      <c r="AD223" s="295" t="str">
        <f t="shared" si="42"/>
        <v/>
      </c>
      <c r="AE223" s="296">
        <f t="shared" si="34"/>
        <v>5</v>
      </c>
      <c r="AF223" s="296">
        <f t="shared" ref="AF223:AF236" si="43">IF(N223=0,0.0001,N223)</f>
        <v>1E-4</v>
      </c>
      <c r="AG223" s="296">
        <v>1</v>
      </c>
      <c r="AH223" s="296">
        <f t="shared" si="36"/>
        <v>1E-4</v>
      </c>
      <c r="AI223" s="296">
        <f t="shared" si="37"/>
        <v>654</v>
      </c>
      <c r="AJ223" s="296">
        <f t="shared" si="38"/>
        <v>-0.4</v>
      </c>
    </row>
    <row r="224" spans="1:36" s="296" customFormat="1" ht="17.25" customHeight="1" x14ac:dyDescent="0.2">
      <c r="A224" s="727"/>
      <c r="B224" s="297" t="s">
        <v>86</v>
      </c>
      <c r="C224" s="298">
        <v>900</v>
      </c>
      <c r="D224" s="299">
        <v>7.7</v>
      </c>
      <c r="E224" s="299">
        <v>12.2</v>
      </c>
      <c r="F224" s="300">
        <v>97</v>
      </c>
      <c r="G224" s="301">
        <v>0.3</v>
      </c>
      <c r="H224" s="302">
        <v>150</v>
      </c>
      <c r="I224" s="303">
        <f t="shared" si="41"/>
        <v>-8</v>
      </c>
      <c r="J224" s="302"/>
      <c r="K224" s="302">
        <v>184</v>
      </c>
      <c r="L224" s="302">
        <v>315</v>
      </c>
      <c r="M224" s="302">
        <f t="shared" si="33"/>
        <v>504</v>
      </c>
      <c r="N224" s="302">
        <v>0</v>
      </c>
      <c r="O224" s="336">
        <v>0</v>
      </c>
      <c r="P224" s="302">
        <v>171</v>
      </c>
      <c r="Q224" s="302">
        <f t="shared" si="31"/>
        <v>171</v>
      </c>
      <c r="R224" s="302">
        <v>8</v>
      </c>
      <c r="S224" s="302">
        <v>146</v>
      </c>
      <c r="T224" s="302"/>
      <c r="U224" s="302">
        <v>76</v>
      </c>
      <c r="V224" s="299">
        <v>10.6</v>
      </c>
      <c r="W224" s="299">
        <v>0.8</v>
      </c>
      <c r="X224" s="299">
        <v>1.7</v>
      </c>
      <c r="Y224" s="299">
        <v>1.8</v>
      </c>
      <c r="Z224" s="304">
        <v>14.4</v>
      </c>
      <c r="AA224" s="293" t="s">
        <v>309</v>
      </c>
      <c r="AB224" s="310">
        <v>190</v>
      </c>
      <c r="AC224" s="294"/>
      <c r="AD224" s="295" t="str">
        <f t="shared" si="42"/>
        <v/>
      </c>
      <c r="AE224" s="296">
        <f t="shared" si="34"/>
        <v>146</v>
      </c>
      <c r="AF224" s="296">
        <f t="shared" si="43"/>
        <v>1E-4</v>
      </c>
      <c r="AG224" s="296">
        <v>1</v>
      </c>
      <c r="AH224" s="296">
        <f t="shared" si="36"/>
        <v>1E-4</v>
      </c>
      <c r="AI224" s="296">
        <f t="shared" si="37"/>
        <v>171</v>
      </c>
      <c r="AJ224" s="296">
        <f t="shared" si="38"/>
        <v>-0.4</v>
      </c>
    </row>
    <row r="225" spans="1:38" s="296" customFormat="1" ht="17.25" customHeight="1" x14ac:dyDescent="0.2">
      <c r="A225" s="727"/>
      <c r="B225" s="297" t="s">
        <v>118</v>
      </c>
      <c r="C225" s="298">
        <v>910</v>
      </c>
      <c r="D225" s="299">
        <v>7.47</v>
      </c>
      <c r="E225" s="299">
        <v>12.3</v>
      </c>
      <c r="F225" s="300">
        <v>205</v>
      </c>
      <c r="G225" s="301">
        <v>0.4</v>
      </c>
      <c r="H225" s="302">
        <f t="shared" si="40"/>
        <v>198</v>
      </c>
      <c r="I225" s="303" t="str">
        <f t="shared" si="41"/>
        <v>+1</v>
      </c>
      <c r="J225" s="302"/>
      <c r="K225" s="302">
        <v>350</v>
      </c>
      <c r="L225" s="302">
        <v>550</v>
      </c>
      <c r="M225" s="302">
        <f t="shared" si="33"/>
        <v>135</v>
      </c>
      <c r="N225" s="302">
        <v>0</v>
      </c>
      <c r="O225" s="336">
        <v>0</v>
      </c>
      <c r="P225" s="302">
        <v>25</v>
      </c>
      <c r="Q225" s="302">
        <f t="shared" si="31"/>
        <v>25</v>
      </c>
      <c r="R225" s="302">
        <v>65</v>
      </c>
      <c r="S225" s="302">
        <v>170</v>
      </c>
      <c r="T225" s="302"/>
      <c r="U225" s="302">
        <v>45</v>
      </c>
      <c r="V225" s="299">
        <f>2.2/0.9</f>
        <v>2.4444444444444446</v>
      </c>
      <c r="W225" s="299">
        <v>6.6</v>
      </c>
      <c r="X225" s="299">
        <f>0.48/0.9</f>
        <v>0.53333333333333333</v>
      </c>
      <c r="Y225" s="299">
        <f>3/0.9</f>
        <v>3.333333333333333</v>
      </c>
      <c r="Z225" s="304">
        <f>6.7/0.9</f>
        <v>7.4444444444444446</v>
      </c>
      <c r="AA225" s="293" t="s">
        <v>309</v>
      </c>
      <c r="AB225" s="310" t="s">
        <v>309</v>
      </c>
      <c r="AC225" s="294"/>
      <c r="AD225" s="295" t="str">
        <f t="shared" si="42"/>
        <v/>
      </c>
      <c r="AE225" s="296">
        <f t="shared" si="34"/>
        <v>170</v>
      </c>
      <c r="AF225" s="296">
        <f t="shared" si="43"/>
        <v>1E-4</v>
      </c>
      <c r="AG225" s="296">
        <v>1</v>
      </c>
      <c r="AH225" s="296">
        <f t="shared" si="36"/>
        <v>1E-4</v>
      </c>
      <c r="AI225" s="296">
        <f t="shared" si="37"/>
        <v>25</v>
      </c>
      <c r="AJ225" s="296">
        <f t="shared" si="38"/>
        <v>-0.4</v>
      </c>
    </row>
    <row r="226" spans="1:38" s="296" customFormat="1" ht="17.25" customHeight="1" x14ac:dyDescent="0.2">
      <c r="A226" s="727"/>
      <c r="B226" s="297" t="s">
        <v>87</v>
      </c>
      <c r="C226" s="298">
        <v>890</v>
      </c>
      <c r="D226" s="299">
        <v>7.34</v>
      </c>
      <c r="E226" s="299">
        <v>12</v>
      </c>
      <c r="F226" s="300">
        <v>385</v>
      </c>
      <c r="G226" s="301">
        <v>0.35</v>
      </c>
      <c r="H226" s="302">
        <f t="shared" si="40"/>
        <v>253</v>
      </c>
      <c r="I226" s="303" t="str">
        <f t="shared" si="41"/>
        <v>+21</v>
      </c>
      <c r="J226" s="302"/>
      <c r="K226" s="302">
        <v>226</v>
      </c>
      <c r="L226" s="302">
        <v>315</v>
      </c>
      <c r="M226" s="302">
        <v>204</v>
      </c>
      <c r="N226" s="302">
        <v>71</v>
      </c>
      <c r="O226" s="336">
        <v>0.1</v>
      </c>
      <c r="P226" s="302">
        <v>90</v>
      </c>
      <c r="Q226" s="302">
        <f t="shared" si="31"/>
        <v>160.929</v>
      </c>
      <c r="R226" s="302">
        <v>20</v>
      </c>
      <c r="S226" s="302">
        <v>150</v>
      </c>
      <c r="T226" s="302"/>
      <c r="U226" s="302">
        <v>77</v>
      </c>
      <c r="V226" s="299">
        <v>7.8</v>
      </c>
      <c r="W226" s="299">
        <v>15.7</v>
      </c>
      <c r="X226" s="299">
        <v>0.6</v>
      </c>
      <c r="Y226" s="299">
        <v>4.8</v>
      </c>
      <c r="Z226" s="304">
        <v>14.4</v>
      </c>
      <c r="AA226" s="293" t="s">
        <v>309</v>
      </c>
      <c r="AB226" s="310">
        <v>-110</v>
      </c>
      <c r="AC226" s="294"/>
      <c r="AD226" s="295" t="str">
        <f t="shared" si="42"/>
        <v/>
      </c>
      <c r="AE226" s="296">
        <f t="shared" si="34"/>
        <v>150</v>
      </c>
      <c r="AF226" s="296">
        <f t="shared" si="43"/>
        <v>71</v>
      </c>
      <c r="AG226" s="296">
        <v>1</v>
      </c>
      <c r="AH226" s="296">
        <f t="shared" si="36"/>
        <v>71</v>
      </c>
      <c r="AI226" s="296">
        <f t="shared" si="37"/>
        <v>90</v>
      </c>
      <c r="AJ226" s="296">
        <f t="shared" si="38"/>
        <v>-0.4</v>
      </c>
    </row>
    <row r="227" spans="1:38" s="296" customFormat="1" ht="17.25" customHeight="1" x14ac:dyDescent="0.2">
      <c r="A227" s="727"/>
      <c r="B227" s="297" t="s">
        <v>193</v>
      </c>
      <c r="C227" s="298">
        <v>900</v>
      </c>
      <c r="D227" s="299">
        <v>7.34</v>
      </c>
      <c r="E227" s="299">
        <f>D227/0.63</f>
        <v>11.65079365079365</v>
      </c>
      <c r="F227" s="300">
        <v>388</v>
      </c>
      <c r="G227" s="301">
        <v>0.6</v>
      </c>
      <c r="H227" s="302">
        <f t="shared" si="40"/>
        <v>331</v>
      </c>
      <c r="I227" s="303" t="str">
        <f t="shared" si="41"/>
        <v>+9</v>
      </c>
      <c r="J227" s="302"/>
      <c r="K227" s="302">
        <v>244</v>
      </c>
      <c r="L227" s="302">
        <v>367</v>
      </c>
      <c r="M227" s="302">
        <v>147</v>
      </c>
      <c r="N227" s="302">
        <v>0</v>
      </c>
      <c r="O227" s="336">
        <v>0</v>
      </c>
      <c r="P227" s="302">
        <v>75</v>
      </c>
      <c r="Q227" s="302">
        <f t="shared" si="31"/>
        <v>75</v>
      </c>
      <c r="R227" s="302">
        <v>21</v>
      </c>
      <c r="S227" s="302">
        <v>157</v>
      </c>
      <c r="T227" s="302"/>
      <c r="U227" s="302">
        <v>78</v>
      </c>
      <c r="V227" s="299">
        <v>7.6</v>
      </c>
      <c r="W227" s="299">
        <v>16.899999999999999</v>
      </c>
      <c r="X227" s="299">
        <v>0.8</v>
      </c>
      <c r="Y227" s="299">
        <v>4.9000000000000004</v>
      </c>
      <c r="Z227" s="304">
        <v>15.1</v>
      </c>
      <c r="AA227" s="293" t="s">
        <v>309</v>
      </c>
      <c r="AB227" s="310">
        <v>-110</v>
      </c>
      <c r="AC227" s="294"/>
      <c r="AD227" s="295" t="str">
        <f t="shared" si="42"/>
        <v/>
      </c>
      <c r="AE227" s="296">
        <f t="shared" si="34"/>
        <v>157</v>
      </c>
      <c r="AF227" s="296">
        <f t="shared" si="43"/>
        <v>1E-4</v>
      </c>
      <c r="AG227" s="296">
        <v>1</v>
      </c>
      <c r="AH227" s="296">
        <f>+AF227*AG227</f>
        <v>1E-4</v>
      </c>
      <c r="AI227" s="296">
        <f t="shared" si="37"/>
        <v>75</v>
      </c>
      <c r="AJ227" s="296">
        <f t="shared" si="38"/>
        <v>-0.4</v>
      </c>
    </row>
    <row r="228" spans="1:38" s="296" customFormat="1" ht="17.25" customHeight="1" x14ac:dyDescent="0.2">
      <c r="A228" s="727"/>
      <c r="B228" s="297" t="s">
        <v>520</v>
      </c>
      <c r="C228" s="298">
        <v>900</v>
      </c>
      <c r="D228" s="299">
        <v>8.7200000000000006</v>
      </c>
      <c r="E228" s="299">
        <v>14.19</v>
      </c>
      <c r="F228" s="300">
        <v>340</v>
      </c>
      <c r="G228" s="301">
        <v>0.15</v>
      </c>
      <c r="H228" s="302">
        <f t="shared" si="40"/>
        <v>207</v>
      </c>
      <c r="I228" s="303" t="str">
        <f t="shared" si="41"/>
        <v>+21</v>
      </c>
      <c r="J228" s="302"/>
      <c r="K228" s="302">
        <f>1.9*S228</f>
        <v>237.5</v>
      </c>
      <c r="L228" s="302">
        <f>2.2*S228</f>
        <v>275</v>
      </c>
      <c r="M228" s="302">
        <f t="shared" ref="M228:M239" si="44">IF(AND(U228&lt;&gt;"",F228&lt;&gt;"",L228&lt;&gt;"",R228&lt;&gt;""),1000-F228-L228-R228-U228,"Fehler")</f>
        <v>150</v>
      </c>
      <c r="N228" s="302">
        <v>60</v>
      </c>
      <c r="O228" s="336">
        <v>0.1</v>
      </c>
      <c r="P228" s="302">
        <v>90</v>
      </c>
      <c r="Q228" s="302">
        <f t="shared" si="31"/>
        <v>149.94</v>
      </c>
      <c r="R228" s="302">
        <v>165</v>
      </c>
      <c r="S228" s="302">
        <v>125</v>
      </c>
      <c r="T228" s="302"/>
      <c r="U228" s="302">
        <v>70</v>
      </c>
      <c r="V228" s="299">
        <v>7.5</v>
      </c>
      <c r="W228" s="299">
        <v>11.6</v>
      </c>
      <c r="X228" s="299">
        <v>0.4</v>
      </c>
      <c r="Y228" s="299">
        <v>5.0999999999999996</v>
      </c>
      <c r="Z228" s="304">
        <v>13</v>
      </c>
      <c r="AA228" s="293" t="s">
        <v>309</v>
      </c>
      <c r="AB228" s="310">
        <v>-200</v>
      </c>
      <c r="AC228" s="294"/>
      <c r="AD228" s="295" t="str">
        <f t="shared" si="42"/>
        <v/>
      </c>
      <c r="AE228" s="296">
        <f t="shared" si="34"/>
        <v>125</v>
      </c>
      <c r="AF228" s="296">
        <f t="shared" si="43"/>
        <v>60</v>
      </c>
      <c r="AG228" s="296">
        <v>1</v>
      </c>
      <c r="AH228" s="296">
        <f t="shared" si="36"/>
        <v>60</v>
      </c>
      <c r="AI228" s="296">
        <f t="shared" si="37"/>
        <v>90</v>
      </c>
      <c r="AJ228" s="296">
        <f t="shared" si="38"/>
        <v>-0.4</v>
      </c>
    </row>
    <row r="229" spans="1:38" s="296" customFormat="1" ht="17.25" customHeight="1" x14ac:dyDescent="0.2">
      <c r="A229" s="727"/>
      <c r="B229" s="297" t="s">
        <v>108</v>
      </c>
      <c r="C229" s="298">
        <v>880</v>
      </c>
      <c r="D229" s="299">
        <v>8.49</v>
      </c>
      <c r="E229" s="299">
        <v>13.3</v>
      </c>
      <c r="F229" s="300">
        <v>105</v>
      </c>
      <c r="G229" s="301">
        <v>0.15</v>
      </c>
      <c r="H229" s="302">
        <f t="shared" si="40"/>
        <v>161</v>
      </c>
      <c r="I229" s="303">
        <f t="shared" si="41"/>
        <v>-9</v>
      </c>
      <c r="J229" s="302"/>
      <c r="K229" s="302">
        <f>1.5*S229</f>
        <v>37.5</v>
      </c>
      <c r="L229" s="302">
        <v>160</v>
      </c>
      <c r="M229" s="302">
        <f t="shared" si="44"/>
        <v>696</v>
      </c>
      <c r="N229" s="302">
        <v>590</v>
      </c>
      <c r="O229" s="336">
        <v>0.15</v>
      </c>
      <c r="P229" s="302">
        <v>70</v>
      </c>
      <c r="Q229" s="302">
        <f t="shared" si="31"/>
        <v>659.11500000000001</v>
      </c>
      <c r="R229" s="302">
        <v>20</v>
      </c>
      <c r="S229" s="302">
        <v>25</v>
      </c>
      <c r="T229" s="302"/>
      <c r="U229" s="302">
        <v>19</v>
      </c>
      <c r="V229" s="299">
        <v>0.9</v>
      </c>
      <c r="W229" s="299">
        <v>3.3</v>
      </c>
      <c r="X229" s="299">
        <v>0.3</v>
      </c>
      <c r="Y229" s="299">
        <v>1.4</v>
      </c>
      <c r="Z229" s="304">
        <v>6</v>
      </c>
      <c r="AA229" s="293" t="s">
        <v>309</v>
      </c>
      <c r="AB229" s="310">
        <v>45</v>
      </c>
      <c r="AC229" s="294"/>
      <c r="AD229" s="295" t="str">
        <f t="shared" si="42"/>
        <v/>
      </c>
      <c r="AE229" s="296">
        <f t="shared" si="34"/>
        <v>25</v>
      </c>
      <c r="AF229" s="296">
        <f t="shared" si="43"/>
        <v>590</v>
      </c>
      <c r="AG229" s="296">
        <v>0.1</v>
      </c>
      <c r="AH229" s="296">
        <f t="shared" si="36"/>
        <v>59</v>
      </c>
      <c r="AI229" s="296">
        <f t="shared" si="37"/>
        <v>70</v>
      </c>
      <c r="AJ229" s="296">
        <f t="shared" si="38"/>
        <v>0.77</v>
      </c>
    </row>
    <row r="230" spans="1:38" s="296" customFormat="1" ht="17.25" customHeight="1" x14ac:dyDescent="0.2">
      <c r="A230" s="727"/>
      <c r="B230" s="297" t="s">
        <v>109</v>
      </c>
      <c r="C230" s="298">
        <v>900</v>
      </c>
      <c r="D230" s="299">
        <v>9.9</v>
      </c>
      <c r="E230" s="299">
        <v>15.89</v>
      </c>
      <c r="F230" s="300">
        <v>400</v>
      </c>
      <c r="G230" s="301">
        <v>0.2</v>
      </c>
      <c r="H230" s="302">
        <f t="shared" si="40"/>
        <v>250</v>
      </c>
      <c r="I230" s="303" t="str">
        <f t="shared" si="41"/>
        <v>+24</v>
      </c>
      <c r="J230" s="302"/>
      <c r="K230" s="302">
        <f>1.8*S230</f>
        <v>108</v>
      </c>
      <c r="L230" s="302">
        <f>2.2*S230</f>
        <v>132</v>
      </c>
      <c r="M230" s="302">
        <f t="shared" si="44"/>
        <v>214</v>
      </c>
      <c r="N230" s="302">
        <v>50</v>
      </c>
      <c r="O230" s="336">
        <v>0.1</v>
      </c>
      <c r="P230" s="302">
        <v>80</v>
      </c>
      <c r="Q230" s="302">
        <f t="shared" si="31"/>
        <v>129.94999999999999</v>
      </c>
      <c r="R230" s="302">
        <v>200</v>
      </c>
      <c r="S230" s="302">
        <v>60</v>
      </c>
      <c r="T230" s="302"/>
      <c r="U230" s="302">
        <v>54</v>
      </c>
      <c r="V230" s="299">
        <v>2.9</v>
      </c>
      <c r="W230" s="299">
        <v>7.1</v>
      </c>
      <c r="X230" s="299">
        <v>0.2</v>
      </c>
      <c r="Y230" s="299">
        <v>3.7</v>
      </c>
      <c r="Z230" s="304">
        <v>20</v>
      </c>
      <c r="AA230" s="293" t="s">
        <v>309</v>
      </c>
      <c r="AB230" s="310" t="s">
        <v>309</v>
      </c>
      <c r="AC230" s="294"/>
      <c r="AD230" s="295" t="str">
        <f t="shared" si="42"/>
        <v/>
      </c>
      <c r="AE230" s="296">
        <f t="shared" si="34"/>
        <v>60</v>
      </c>
      <c r="AF230" s="296">
        <f t="shared" si="43"/>
        <v>50</v>
      </c>
      <c r="AG230" s="296">
        <v>0.1</v>
      </c>
      <c r="AH230" s="296">
        <f t="shared" si="36"/>
        <v>5</v>
      </c>
      <c r="AI230" s="296">
        <f t="shared" si="37"/>
        <v>80</v>
      </c>
      <c r="AJ230" s="296">
        <f t="shared" si="38"/>
        <v>0.77</v>
      </c>
    </row>
    <row r="231" spans="1:38" s="296" customFormat="1" ht="17.25" customHeight="1" x14ac:dyDescent="0.2">
      <c r="A231" s="727"/>
      <c r="B231" s="297" t="s">
        <v>114</v>
      </c>
      <c r="C231" s="298">
        <v>880</v>
      </c>
      <c r="D231" s="299">
        <v>8.44</v>
      </c>
      <c r="E231" s="299">
        <v>13.49</v>
      </c>
      <c r="F231" s="300">
        <v>477</v>
      </c>
      <c r="G231" s="301">
        <v>0.3</v>
      </c>
      <c r="H231" s="302">
        <f t="shared" si="40"/>
        <v>281</v>
      </c>
      <c r="I231" s="303" t="str">
        <f t="shared" si="41"/>
        <v>+31</v>
      </c>
      <c r="J231" s="302"/>
      <c r="K231" s="302">
        <f>1.33*S231</f>
        <v>119.7</v>
      </c>
      <c r="L231" s="302">
        <f>2.5*S231</f>
        <v>225</v>
      </c>
      <c r="M231" s="302">
        <f t="shared" si="44"/>
        <v>216</v>
      </c>
      <c r="N231" s="302">
        <v>70</v>
      </c>
      <c r="O231" s="336">
        <v>0.1</v>
      </c>
      <c r="P231" s="302">
        <v>105</v>
      </c>
      <c r="Q231" s="302">
        <f t="shared" si="31"/>
        <v>174.93</v>
      </c>
      <c r="R231" s="302">
        <v>15</v>
      </c>
      <c r="S231" s="302">
        <v>90</v>
      </c>
      <c r="T231" s="302"/>
      <c r="U231" s="302">
        <v>67</v>
      </c>
      <c r="V231" s="299">
        <v>3.6</v>
      </c>
      <c r="W231" s="299">
        <v>7.4</v>
      </c>
      <c r="X231" s="299">
        <v>0.4</v>
      </c>
      <c r="Y231" s="299">
        <v>3.7</v>
      </c>
      <c r="Z231" s="304">
        <v>25</v>
      </c>
      <c r="AA231" s="293" t="s">
        <v>309</v>
      </c>
      <c r="AB231" s="310">
        <v>330</v>
      </c>
      <c r="AC231" s="294"/>
      <c r="AD231" s="295" t="str">
        <f t="shared" si="42"/>
        <v/>
      </c>
      <c r="AE231" s="296">
        <f t="shared" si="34"/>
        <v>90</v>
      </c>
      <c r="AF231" s="296">
        <f t="shared" si="43"/>
        <v>70</v>
      </c>
      <c r="AG231" s="296">
        <v>0.15</v>
      </c>
      <c r="AH231" s="296">
        <f t="shared" si="36"/>
        <v>10.5</v>
      </c>
      <c r="AI231" s="296">
        <f t="shared" si="37"/>
        <v>105</v>
      </c>
      <c r="AJ231" s="296">
        <f t="shared" si="38"/>
        <v>0.70500000000000007</v>
      </c>
    </row>
    <row r="232" spans="1:38" s="296" customFormat="1" ht="17.25" customHeight="1" x14ac:dyDescent="0.2">
      <c r="A232" s="727"/>
      <c r="B232" s="297" t="s">
        <v>171</v>
      </c>
      <c r="C232" s="298">
        <v>880</v>
      </c>
      <c r="D232" s="299">
        <v>8.64</v>
      </c>
      <c r="E232" s="299">
        <v>13.76</v>
      </c>
      <c r="F232" s="300">
        <v>500</v>
      </c>
      <c r="G232" s="301">
        <v>0.65</v>
      </c>
      <c r="H232" s="302">
        <f t="shared" si="40"/>
        <v>438</v>
      </c>
      <c r="I232" s="303" t="str">
        <f t="shared" si="41"/>
        <v>+10</v>
      </c>
      <c r="J232" s="302"/>
      <c r="K232" s="302">
        <f>1.7*S232</f>
        <v>119</v>
      </c>
      <c r="L232" s="302">
        <f>2.9*S232</f>
        <v>203</v>
      </c>
      <c r="M232" s="302">
        <f t="shared" si="44"/>
        <v>224</v>
      </c>
      <c r="N232" s="302">
        <v>30</v>
      </c>
      <c r="O232" s="336">
        <v>0.1</v>
      </c>
      <c r="P232" s="302">
        <v>103</v>
      </c>
      <c r="Q232" s="302">
        <f t="shared" si="31"/>
        <v>132.97</v>
      </c>
      <c r="R232" s="302">
        <v>15</v>
      </c>
      <c r="S232" s="302">
        <v>70</v>
      </c>
      <c r="T232" s="302"/>
      <c r="U232" s="302">
        <v>58</v>
      </c>
      <c r="V232" s="299">
        <v>3.1</v>
      </c>
      <c r="W232" s="299">
        <v>7</v>
      </c>
      <c r="X232" s="299">
        <v>0.2</v>
      </c>
      <c r="Y232" s="299">
        <v>3</v>
      </c>
      <c r="Z232" s="304">
        <v>22</v>
      </c>
      <c r="AA232" s="293" t="s">
        <v>309</v>
      </c>
      <c r="AB232" s="310">
        <v>325</v>
      </c>
      <c r="AC232" s="294"/>
      <c r="AD232" s="295" t="str">
        <f t="shared" si="42"/>
        <v/>
      </c>
      <c r="AE232" s="296">
        <f t="shared" si="34"/>
        <v>70</v>
      </c>
      <c r="AF232" s="296">
        <f t="shared" si="43"/>
        <v>30</v>
      </c>
      <c r="AG232" s="296">
        <v>0.15</v>
      </c>
      <c r="AH232" s="296">
        <f t="shared" si="36"/>
        <v>4.5</v>
      </c>
      <c r="AI232" s="296">
        <f t="shared" si="37"/>
        <v>103</v>
      </c>
      <c r="AJ232" s="296">
        <f t="shared" si="38"/>
        <v>0.70500000000000007</v>
      </c>
    </row>
    <row r="233" spans="1:38" s="296" customFormat="1" ht="17.25" customHeight="1" x14ac:dyDescent="0.2">
      <c r="A233" s="727"/>
      <c r="B233" s="297" t="s">
        <v>113</v>
      </c>
      <c r="C233" s="298">
        <v>890</v>
      </c>
      <c r="D233" s="299">
        <v>8.56</v>
      </c>
      <c r="E233" s="299">
        <v>13.68</v>
      </c>
      <c r="F233" s="300">
        <v>545</v>
      </c>
      <c r="G233" s="301">
        <v>0.3</v>
      </c>
      <c r="H233" s="302">
        <f t="shared" si="40"/>
        <v>304</v>
      </c>
      <c r="I233" s="303" t="str">
        <f t="shared" si="41"/>
        <v>+39</v>
      </c>
      <c r="J233" s="302"/>
      <c r="K233" s="302">
        <f>1.3*S233</f>
        <v>52</v>
      </c>
      <c r="L233" s="302">
        <f>2.2*S233</f>
        <v>88</v>
      </c>
      <c r="M233" s="302">
        <f t="shared" si="44"/>
        <v>285</v>
      </c>
      <c r="N233" s="302">
        <v>68</v>
      </c>
      <c r="O233" s="336">
        <v>0.1</v>
      </c>
      <c r="P233" s="302">
        <v>104</v>
      </c>
      <c r="Q233" s="302">
        <f t="shared" si="31"/>
        <v>171.93200000000002</v>
      </c>
      <c r="R233" s="302">
        <v>15</v>
      </c>
      <c r="S233" s="302">
        <v>40</v>
      </c>
      <c r="T233" s="302"/>
      <c r="U233" s="302">
        <v>67</v>
      </c>
      <c r="V233" s="299">
        <f>3/0.89</f>
        <v>3.3707865168539324</v>
      </c>
      <c r="W233" s="299">
        <f>7.1/0.89</f>
        <v>7.97752808988764</v>
      </c>
      <c r="X233" s="299">
        <f>0.16/0.89</f>
        <v>0.1797752808988764</v>
      </c>
      <c r="Y233" s="299">
        <f>2.6/0.89</f>
        <v>2.9213483146067416</v>
      </c>
      <c r="Z233" s="304">
        <f>21.6/0.89</f>
        <v>24.269662921348317</v>
      </c>
      <c r="AA233" s="293" t="s">
        <v>309</v>
      </c>
      <c r="AB233" s="310">
        <v>325</v>
      </c>
      <c r="AC233" s="294"/>
      <c r="AD233" s="295" t="str">
        <f t="shared" si="42"/>
        <v/>
      </c>
      <c r="AE233" s="296">
        <f t="shared" si="34"/>
        <v>40</v>
      </c>
      <c r="AF233" s="296">
        <f t="shared" si="43"/>
        <v>68</v>
      </c>
      <c r="AG233" s="296">
        <v>0.15</v>
      </c>
      <c r="AH233" s="296">
        <f t="shared" si="36"/>
        <v>10.199999999999999</v>
      </c>
      <c r="AI233" s="296">
        <f t="shared" si="37"/>
        <v>104</v>
      </c>
      <c r="AJ233" s="296">
        <f t="shared" si="38"/>
        <v>0.70500000000000007</v>
      </c>
    </row>
    <row r="234" spans="1:38" s="296" customFormat="1" ht="17.25" customHeight="1" x14ac:dyDescent="0.2">
      <c r="A234" s="727"/>
      <c r="B234" s="297" t="s">
        <v>112</v>
      </c>
      <c r="C234" s="298">
        <v>900</v>
      </c>
      <c r="D234" s="299">
        <v>6.01</v>
      </c>
      <c r="E234" s="299">
        <v>10.24</v>
      </c>
      <c r="F234" s="300">
        <v>383</v>
      </c>
      <c r="G234" s="301">
        <v>0.25</v>
      </c>
      <c r="H234" s="302">
        <f t="shared" si="40"/>
        <v>203</v>
      </c>
      <c r="I234" s="303" t="str">
        <f t="shared" si="41"/>
        <v>+29</v>
      </c>
      <c r="J234" s="302"/>
      <c r="K234" s="302">
        <f>1.2*S234</f>
        <v>264</v>
      </c>
      <c r="L234" s="302">
        <f>1.8*S234</f>
        <v>396</v>
      </c>
      <c r="M234" s="302">
        <f t="shared" si="44"/>
        <v>126</v>
      </c>
      <c r="N234" s="302">
        <v>0</v>
      </c>
      <c r="O234" s="336">
        <v>0</v>
      </c>
      <c r="P234" s="302">
        <v>51</v>
      </c>
      <c r="Q234" s="302">
        <f t="shared" si="31"/>
        <v>51</v>
      </c>
      <c r="R234" s="302">
        <v>25</v>
      </c>
      <c r="S234" s="302">
        <v>220</v>
      </c>
      <c r="T234" s="302"/>
      <c r="U234" s="302">
        <v>70</v>
      </c>
      <c r="V234" s="299">
        <f>3.6/0.9</f>
        <v>4</v>
      </c>
      <c r="W234" s="299">
        <v>10.7</v>
      </c>
      <c r="X234" s="299">
        <v>0.5</v>
      </c>
      <c r="Y234" s="299">
        <f>4.7/0.9</f>
        <v>5.2222222222222223</v>
      </c>
      <c r="Z234" s="304">
        <f>11.7/0.9</f>
        <v>12.999999999999998</v>
      </c>
      <c r="AA234" s="293" t="s">
        <v>309</v>
      </c>
      <c r="AB234" s="310" t="s">
        <v>309</v>
      </c>
      <c r="AC234" s="294"/>
      <c r="AD234" s="295" t="str">
        <f t="shared" si="42"/>
        <v/>
      </c>
      <c r="AE234" s="296">
        <f t="shared" si="34"/>
        <v>220</v>
      </c>
      <c r="AF234" s="296">
        <f t="shared" si="43"/>
        <v>1E-4</v>
      </c>
      <c r="AG234" s="296">
        <v>1</v>
      </c>
      <c r="AH234" s="296">
        <f t="shared" si="36"/>
        <v>1E-4</v>
      </c>
      <c r="AI234" s="296">
        <f t="shared" si="37"/>
        <v>51</v>
      </c>
      <c r="AJ234" s="296">
        <f t="shared" si="38"/>
        <v>-0.4</v>
      </c>
    </row>
    <row r="235" spans="1:38" s="296" customFormat="1" ht="17.25" customHeight="1" x14ac:dyDescent="0.2">
      <c r="A235" s="727"/>
      <c r="B235" s="297" t="s">
        <v>88</v>
      </c>
      <c r="C235" s="298">
        <v>880</v>
      </c>
      <c r="D235" s="299">
        <v>8.3699999999999992</v>
      </c>
      <c r="E235" s="299">
        <v>13.17</v>
      </c>
      <c r="F235" s="300">
        <v>120</v>
      </c>
      <c r="G235" s="301">
        <v>0.15</v>
      </c>
      <c r="H235" s="302">
        <f t="shared" si="40"/>
        <v>162</v>
      </c>
      <c r="I235" s="303">
        <f t="shared" si="41"/>
        <v>-7</v>
      </c>
      <c r="J235" s="302"/>
      <c r="K235" s="302">
        <f>1.5*S235</f>
        <v>37.5</v>
      </c>
      <c r="L235" s="302">
        <f>4.75*S235</f>
        <v>118.75</v>
      </c>
      <c r="M235" s="302">
        <f t="shared" si="44"/>
        <v>719.25</v>
      </c>
      <c r="N235" s="302">
        <v>625</v>
      </c>
      <c r="O235" s="336">
        <v>0.15</v>
      </c>
      <c r="P235" s="302">
        <v>43</v>
      </c>
      <c r="Q235" s="302">
        <f t="shared" si="31"/>
        <v>667.0625</v>
      </c>
      <c r="R235" s="302">
        <v>20</v>
      </c>
      <c r="S235" s="302">
        <v>25</v>
      </c>
      <c r="T235" s="302"/>
      <c r="U235" s="302">
        <v>22</v>
      </c>
      <c r="V235" s="299">
        <f>0.4/0.88</f>
        <v>0.45454545454545459</v>
      </c>
      <c r="W235" s="299">
        <f>3.8/0.88</f>
        <v>4.3181818181818183</v>
      </c>
      <c r="X235" s="299">
        <f>0.1/0.88</f>
        <v>0.11363636363636365</v>
      </c>
      <c r="Y235" s="299">
        <f>1.1/0.88</f>
        <v>1.25</v>
      </c>
      <c r="Z235" s="304">
        <f>4.7/0.88</f>
        <v>5.3409090909090908</v>
      </c>
      <c r="AA235" s="293" t="s">
        <v>309</v>
      </c>
      <c r="AB235" s="310">
        <v>40</v>
      </c>
      <c r="AC235" s="294"/>
      <c r="AD235" s="295" t="str">
        <f t="shared" si="42"/>
        <v/>
      </c>
      <c r="AE235" s="296">
        <f t="shared" si="34"/>
        <v>25</v>
      </c>
      <c r="AF235" s="296">
        <f t="shared" si="43"/>
        <v>625</v>
      </c>
      <c r="AG235" s="296">
        <v>0.1</v>
      </c>
      <c r="AH235" s="296">
        <f t="shared" si="36"/>
        <v>62.5</v>
      </c>
      <c r="AI235" s="296">
        <f t="shared" si="37"/>
        <v>43</v>
      </c>
      <c r="AJ235" s="296">
        <f t="shared" si="38"/>
        <v>0.77</v>
      </c>
    </row>
    <row r="236" spans="1:38" s="296" customFormat="1" ht="17.25" customHeight="1" x14ac:dyDescent="0.2">
      <c r="A236" s="727"/>
      <c r="B236" s="297" t="s">
        <v>89</v>
      </c>
      <c r="C236" s="298">
        <v>880</v>
      </c>
      <c r="D236" s="299">
        <v>8.6</v>
      </c>
      <c r="E236" s="299">
        <f>D236/0.63</f>
        <v>13.65079365079365</v>
      </c>
      <c r="F236" s="300">
        <v>145</v>
      </c>
      <c r="G236" s="301">
        <v>0.2</v>
      </c>
      <c r="H236" s="302">
        <f t="shared" si="40"/>
        <v>174</v>
      </c>
      <c r="I236" s="303">
        <f t="shared" si="41"/>
        <v>-5</v>
      </c>
      <c r="J236" s="302"/>
      <c r="K236" s="302">
        <v>45</v>
      </c>
      <c r="L236" s="302">
        <v>125</v>
      </c>
      <c r="M236" s="302">
        <f t="shared" si="44"/>
        <v>688</v>
      </c>
      <c r="N236" s="302">
        <v>650</v>
      </c>
      <c r="O236" s="336">
        <v>0.15</v>
      </c>
      <c r="P236" s="302">
        <v>31</v>
      </c>
      <c r="Q236" s="302">
        <f t="shared" si="31"/>
        <v>680.02499999999998</v>
      </c>
      <c r="R236" s="302">
        <v>20</v>
      </c>
      <c r="S236" s="302">
        <v>30</v>
      </c>
      <c r="T236" s="302"/>
      <c r="U236" s="302">
        <v>22</v>
      </c>
      <c r="V236" s="299">
        <v>0.9</v>
      </c>
      <c r="W236" s="299">
        <v>5.8</v>
      </c>
      <c r="X236" s="299">
        <v>0.1</v>
      </c>
      <c r="Y236" s="299">
        <v>1.4</v>
      </c>
      <c r="Z236" s="304">
        <v>6.1</v>
      </c>
      <c r="AA236" s="293" t="s">
        <v>309</v>
      </c>
      <c r="AB236" s="310">
        <v>15</v>
      </c>
      <c r="AC236" s="294"/>
      <c r="AD236" s="295" t="str">
        <f t="shared" si="42"/>
        <v/>
      </c>
      <c r="AE236" s="296">
        <f t="shared" si="34"/>
        <v>30</v>
      </c>
      <c r="AF236" s="296">
        <f t="shared" si="43"/>
        <v>650</v>
      </c>
      <c r="AG236" s="296">
        <v>0.1</v>
      </c>
      <c r="AH236" s="296">
        <f t="shared" si="36"/>
        <v>65</v>
      </c>
      <c r="AI236" s="296">
        <f t="shared" si="37"/>
        <v>31</v>
      </c>
      <c r="AJ236" s="296">
        <f t="shared" si="38"/>
        <v>0.77</v>
      </c>
    </row>
    <row r="237" spans="1:38" s="296" customFormat="1" ht="17.25" customHeight="1" x14ac:dyDescent="0.2">
      <c r="A237" s="727"/>
      <c r="B237" s="297" t="s">
        <v>189</v>
      </c>
      <c r="C237" s="298">
        <v>880</v>
      </c>
      <c r="D237" s="299">
        <f>7.8/0.88</f>
        <v>8.8636363636363633</v>
      </c>
      <c r="E237" s="299">
        <f>D237/0.6</f>
        <v>14.772727272727273</v>
      </c>
      <c r="F237" s="300">
        <f>166/0.88</f>
        <v>188.63636363636363</v>
      </c>
      <c r="G237" s="301">
        <v>0.2</v>
      </c>
      <c r="H237" s="302">
        <f t="shared" si="40"/>
        <v>195</v>
      </c>
      <c r="I237" s="303">
        <f t="shared" si="41"/>
        <v>-1</v>
      </c>
      <c r="J237" s="302"/>
      <c r="K237" s="302">
        <f>21/0.88</f>
        <v>23.863636363636363</v>
      </c>
      <c r="L237" s="302">
        <f>51/0.88</f>
        <v>57.954545454545453</v>
      </c>
      <c r="M237" s="302">
        <f t="shared" si="44"/>
        <v>701.13636363636363</v>
      </c>
      <c r="N237" s="302">
        <v>505</v>
      </c>
      <c r="O237" s="336">
        <v>0.15</v>
      </c>
      <c r="P237" s="302">
        <v>0</v>
      </c>
      <c r="Q237" s="302">
        <f t="shared" si="31"/>
        <v>504.24250000000001</v>
      </c>
      <c r="R237" s="302">
        <f>27/0.88</f>
        <v>30.681818181818183</v>
      </c>
      <c r="S237" s="302">
        <f>117.88</f>
        <v>117.88</v>
      </c>
      <c r="T237" s="302"/>
      <c r="U237" s="302">
        <f>19/0.88</f>
        <v>21.59090909090909</v>
      </c>
      <c r="V237" s="299">
        <f>0.4/0.88</f>
        <v>0.45454545454545459</v>
      </c>
      <c r="W237" s="299">
        <f>3.8/0.88</f>
        <v>4.3181818181818183</v>
      </c>
      <c r="X237" s="299">
        <f>0.04/0.88</f>
        <v>4.5454545454545456E-2</v>
      </c>
      <c r="Y237" s="299">
        <f>1.4/0.88</f>
        <v>1.5909090909090908</v>
      </c>
      <c r="Z237" s="304">
        <f>4.2/0.88</f>
        <v>4.7727272727272725</v>
      </c>
      <c r="AA237" s="293" t="s">
        <v>309</v>
      </c>
      <c r="AB237" s="310" t="s">
        <v>309</v>
      </c>
      <c r="AC237" s="294"/>
      <c r="AD237" s="295"/>
      <c r="AE237" s="296">
        <f t="shared" si="34"/>
        <v>117.88</v>
      </c>
      <c r="AF237" s="296">
        <v>800</v>
      </c>
      <c r="AG237" s="296">
        <v>0.05</v>
      </c>
      <c r="AH237" s="296">
        <f t="shared" si="36"/>
        <v>40</v>
      </c>
      <c r="AI237" s="296">
        <f t="shared" si="37"/>
        <v>0</v>
      </c>
      <c r="AJ237" s="296">
        <f t="shared" si="38"/>
        <v>0.83499999999999996</v>
      </c>
    </row>
    <row r="238" spans="1:38" s="296" customFormat="1" ht="17.25" customHeight="1" x14ac:dyDescent="0.2">
      <c r="A238" s="727"/>
      <c r="B238" s="297" t="s">
        <v>90</v>
      </c>
      <c r="C238" s="298">
        <v>880</v>
      </c>
      <c r="D238" s="299">
        <v>5.9</v>
      </c>
      <c r="E238" s="299">
        <v>9.98</v>
      </c>
      <c r="F238" s="300">
        <v>160</v>
      </c>
      <c r="G238" s="301">
        <v>0.25</v>
      </c>
      <c r="H238" s="302">
        <f t="shared" si="40"/>
        <v>143</v>
      </c>
      <c r="I238" s="303" t="str">
        <f t="shared" si="41"/>
        <v>+3</v>
      </c>
      <c r="J238" s="302"/>
      <c r="K238" s="302">
        <v>100</v>
      </c>
      <c r="L238" s="302">
        <v>410</v>
      </c>
      <c r="M238" s="302">
        <f t="shared" si="44"/>
        <v>335</v>
      </c>
      <c r="N238" s="302">
        <v>285</v>
      </c>
      <c r="O238" s="336">
        <v>0.1</v>
      </c>
      <c r="P238" s="302">
        <v>64</v>
      </c>
      <c r="Q238" s="302">
        <f t="shared" si="31"/>
        <v>348.71499999999997</v>
      </c>
      <c r="R238" s="302">
        <v>45</v>
      </c>
      <c r="S238" s="302">
        <v>135</v>
      </c>
      <c r="T238" s="302"/>
      <c r="U238" s="302">
        <v>50</v>
      </c>
      <c r="V238" s="299">
        <v>1.8</v>
      </c>
      <c r="W238" s="299">
        <v>13</v>
      </c>
      <c r="X238" s="299">
        <v>0.5</v>
      </c>
      <c r="Y238" s="299">
        <v>5.3</v>
      </c>
      <c r="Z238" s="304">
        <v>12</v>
      </c>
      <c r="AA238" s="293" t="s">
        <v>309</v>
      </c>
      <c r="AB238" s="310" t="s">
        <v>309</v>
      </c>
      <c r="AC238" s="294"/>
      <c r="AD238" s="295" t="str">
        <f>IF(COUNTA(B238:AA238)&lt;21,"x","")</f>
        <v/>
      </c>
      <c r="AE238" s="296">
        <f t="shared" si="34"/>
        <v>135</v>
      </c>
      <c r="AF238" s="296">
        <f>IF(N238=0,0.0001,N238)</f>
        <v>285</v>
      </c>
      <c r="AG238" s="296">
        <v>0.1</v>
      </c>
      <c r="AH238" s="296">
        <f t="shared" si="36"/>
        <v>28.5</v>
      </c>
      <c r="AI238" s="296">
        <f t="shared" si="37"/>
        <v>64</v>
      </c>
      <c r="AJ238" s="296">
        <f t="shared" si="38"/>
        <v>0.77</v>
      </c>
    </row>
    <row r="239" spans="1:38" s="296" customFormat="1" ht="17.25" customHeight="1" x14ac:dyDescent="0.2">
      <c r="A239" s="727"/>
      <c r="B239" s="297" t="s">
        <v>123</v>
      </c>
      <c r="C239" s="298">
        <v>900</v>
      </c>
      <c r="D239" s="299">
        <v>7.6</v>
      </c>
      <c r="E239" s="299">
        <f>D239/0.63</f>
        <v>12.063492063492063</v>
      </c>
      <c r="F239" s="300">
        <v>70</v>
      </c>
      <c r="G239" s="301">
        <v>0.25</v>
      </c>
      <c r="H239" s="302">
        <f t="shared" si="40"/>
        <v>141</v>
      </c>
      <c r="I239" s="303">
        <f t="shared" si="41"/>
        <v>-11</v>
      </c>
      <c r="J239" s="302"/>
      <c r="K239" s="302">
        <f>1.1*S239</f>
        <v>154</v>
      </c>
      <c r="L239" s="302">
        <f>1.6*S239</f>
        <v>224</v>
      </c>
      <c r="M239" s="302">
        <f t="shared" si="44"/>
        <v>609</v>
      </c>
      <c r="N239" s="302">
        <v>0</v>
      </c>
      <c r="O239" s="336">
        <v>0</v>
      </c>
      <c r="P239" s="302">
        <v>243</v>
      </c>
      <c r="Q239" s="302">
        <f t="shared" si="31"/>
        <v>243</v>
      </c>
      <c r="R239" s="302">
        <v>35</v>
      </c>
      <c r="S239" s="302">
        <v>140</v>
      </c>
      <c r="T239" s="302"/>
      <c r="U239" s="302">
        <v>62</v>
      </c>
      <c r="V239" s="299">
        <v>18.8</v>
      </c>
      <c r="W239" s="299">
        <f>1.2/0.9</f>
        <v>1.3333333333333333</v>
      </c>
      <c r="X239" s="299">
        <v>0.8</v>
      </c>
      <c r="Y239" s="299">
        <f>1.4/0.9</f>
        <v>1.5555555555555554</v>
      </c>
      <c r="Z239" s="304">
        <v>9</v>
      </c>
      <c r="AA239" s="293" t="s">
        <v>309</v>
      </c>
      <c r="AB239" s="310" t="s">
        <v>309</v>
      </c>
      <c r="AC239" s="294"/>
      <c r="AD239" s="295" t="str">
        <f>IF(COUNTA(B239:AA239)&lt;21,"x","")</f>
        <v/>
      </c>
      <c r="AE239" s="296">
        <f t="shared" si="34"/>
        <v>140</v>
      </c>
      <c r="AF239" s="296">
        <f>IF(N239=0,0.0001,N239)</f>
        <v>1E-4</v>
      </c>
      <c r="AG239" s="296">
        <v>1</v>
      </c>
      <c r="AH239" s="296">
        <f t="shared" si="36"/>
        <v>1E-4</v>
      </c>
      <c r="AI239" s="296">
        <f t="shared" si="37"/>
        <v>243</v>
      </c>
      <c r="AJ239" s="296">
        <f t="shared" si="38"/>
        <v>-0.4</v>
      </c>
    </row>
    <row r="240" spans="1:38" s="82" customFormat="1" ht="2.25" customHeight="1" x14ac:dyDescent="0.2">
      <c r="A240" s="725"/>
      <c r="B240" s="257"/>
      <c r="C240" s="258">
        <v>1E-3</v>
      </c>
      <c r="D240" s="259">
        <v>0</v>
      </c>
      <c r="E240" s="259">
        <v>0</v>
      </c>
      <c r="F240" s="260">
        <v>0</v>
      </c>
      <c r="G240" s="259">
        <v>0</v>
      </c>
      <c r="H240" s="259">
        <v>0</v>
      </c>
      <c r="I240" s="259">
        <v>0</v>
      </c>
      <c r="J240" s="259"/>
      <c r="K240" s="259">
        <v>0</v>
      </c>
      <c r="L240" s="259">
        <v>0</v>
      </c>
      <c r="M240" s="259">
        <v>0</v>
      </c>
      <c r="N240" s="259">
        <v>0</v>
      </c>
      <c r="O240" s="259">
        <v>0</v>
      </c>
      <c r="P240" s="259">
        <v>0</v>
      </c>
      <c r="Q240" s="259">
        <v>0</v>
      </c>
      <c r="R240" s="259">
        <v>0</v>
      </c>
      <c r="S240" s="259">
        <v>0</v>
      </c>
      <c r="T240" s="259">
        <v>0</v>
      </c>
      <c r="U240" s="259">
        <v>0</v>
      </c>
      <c r="V240" s="259">
        <v>0</v>
      </c>
      <c r="W240" s="261">
        <v>0</v>
      </c>
      <c r="X240" s="261">
        <v>0</v>
      </c>
      <c r="Y240" s="261">
        <v>0</v>
      </c>
      <c r="Z240" s="262">
        <v>0</v>
      </c>
      <c r="AA240" s="262"/>
      <c r="AB240" s="282"/>
      <c r="AC240" s="282"/>
      <c r="AD240" s="80"/>
      <c r="AE240" s="81"/>
      <c r="AF240" s="81"/>
      <c r="AG240" s="81"/>
      <c r="AH240" s="81"/>
      <c r="AI240" s="81"/>
      <c r="AJ240" s="81"/>
      <c r="AL240" s="72"/>
    </row>
    <row r="241" spans="1:36" s="72" customFormat="1" ht="17.25" customHeight="1" x14ac:dyDescent="0.2">
      <c r="A241" s="704" t="s">
        <v>505</v>
      </c>
      <c r="B241" s="263"/>
      <c r="C241" s="264">
        <v>0</v>
      </c>
      <c r="D241" s="265">
        <v>1E-4</v>
      </c>
      <c r="E241" s="265">
        <v>1E-4</v>
      </c>
      <c r="F241" s="266">
        <v>1E-4</v>
      </c>
      <c r="G241" s="265">
        <v>1E-4</v>
      </c>
      <c r="H241" s="265">
        <v>1E-4</v>
      </c>
      <c r="I241" s="265">
        <v>1E-4</v>
      </c>
      <c r="J241" s="265"/>
      <c r="K241" s="265">
        <v>1E-4</v>
      </c>
      <c r="L241" s="265">
        <v>1E-4</v>
      </c>
      <c r="M241" s="265">
        <v>1E-4</v>
      </c>
      <c r="N241" s="265">
        <v>1E-4</v>
      </c>
      <c r="O241" s="265">
        <v>1E-4</v>
      </c>
      <c r="P241" s="265">
        <v>1E-4</v>
      </c>
      <c r="Q241" s="265">
        <v>1E-4</v>
      </c>
      <c r="R241" s="265">
        <v>1E-4</v>
      </c>
      <c r="S241" s="265">
        <v>1E-4</v>
      </c>
      <c r="T241" s="265">
        <v>1E-4</v>
      </c>
      <c r="U241" s="265">
        <v>1E-4</v>
      </c>
      <c r="V241" s="265">
        <v>1E-4</v>
      </c>
      <c r="W241" s="267">
        <v>1E-4</v>
      </c>
      <c r="X241" s="267">
        <v>1E-4</v>
      </c>
      <c r="Y241" s="267">
        <v>1E-4</v>
      </c>
      <c r="Z241" s="268">
        <v>1E-4</v>
      </c>
      <c r="AA241" s="268">
        <v>1E-4</v>
      </c>
      <c r="AB241" s="264"/>
      <c r="AC241" s="270"/>
      <c r="AD241" s="73"/>
      <c r="AE241" s="73"/>
      <c r="AF241" s="73"/>
      <c r="AG241" s="73"/>
      <c r="AH241" s="73"/>
      <c r="AI241" s="73"/>
      <c r="AJ241" s="73"/>
    </row>
    <row r="242" spans="1:36" s="296" customFormat="1" ht="17.25" customHeight="1" x14ac:dyDescent="0.2">
      <c r="A242" s="727"/>
      <c r="B242" s="297" t="s">
        <v>91</v>
      </c>
      <c r="C242" s="298">
        <v>880</v>
      </c>
      <c r="D242" s="299">
        <v>7.5</v>
      </c>
      <c r="E242" s="299">
        <v>12</v>
      </c>
      <c r="F242" s="300">
        <v>154</v>
      </c>
      <c r="G242" s="301">
        <v>0.28999999999999998</v>
      </c>
      <c r="H242" s="302">
        <v>165</v>
      </c>
      <c r="I242" s="303">
        <v>-2</v>
      </c>
      <c r="J242" s="302"/>
      <c r="K242" s="302">
        <v>132</v>
      </c>
      <c r="L242" s="302">
        <v>255</v>
      </c>
      <c r="M242" s="302">
        <f t="shared" ref="M242:M250" si="45">IF(AND(U242&lt;&gt;"",F242&lt;&gt;"",L242&lt;&gt;"",R242&lt;&gt;""),1000-F242-L242-R242-U242,"Fehler")</f>
        <v>498</v>
      </c>
      <c r="N242" s="302">
        <v>415</v>
      </c>
      <c r="O242" s="336">
        <v>0.15</v>
      </c>
      <c r="P242" s="302">
        <v>80</v>
      </c>
      <c r="Q242" s="302">
        <f t="shared" si="31"/>
        <v>494.3775</v>
      </c>
      <c r="R242" s="302">
        <v>24</v>
      </c>
      <c r="S242" s="302">
        <v>104</v>
      </c>
      <c r="T242" s="302"/>
      <c r="U242" s="302">
        <v>69</v>
      </c>
      <c r="V242" s="299">
        <v>8.6999999999999993</v>
      </c>
      <c r="W242" s="299">
        <v>7.1</v>
      </c>
      <c r="X242" s="299">
        <v>1.7</v>
      </c>
      <c r="Y242" s="299">
        <v>2.5</v>
      </c>
      <c r="Z242" s="304">
        <v>10.199999999999999</v>
      </c>
      <c r="AA242" s="293" t="s">
        <v>309</v>
      </c>
      <c r="AB242" s="310" t="s">
        <v>309</v>
      </c>
      <c r="AC242" s="294"/>
      <c r="AD242" s="295" t="str">
        <f>IF(COUNTA(B242:AA242)&lt;21,"x","")</f>
        <v/>
      </c>
    </row>
    <row r="243" spans="1:36" s="296" customFormat="1" ht="17.25" customHeight="1" x14ac:dyDescent="0.2">
      <c r="A243" s="727"/>
      <c r="B243" s="297" t="s">
        <v>506</v>
      </c>
      <c r="C243" s="298">
        <v>890</v>
      </c>
      <c r="D243" s="299">
        <v>7.6</v>
      </c>
      <c r="E243" s="299">
        <v>12.2</v>
      </c>
      <c r="F243" s="300">
        <v>208</v>
      </c>
      <c r="G243" s="301">
        <v>0.26</v>
      </c>
      <c r="H243" s="302">
        <v>186</v>
      </c>
      <c r="I243" s="303">
        <v>3.4</v>
      </c>
      <c r="J243" s="302"/>
      <c r="K243" s="302">
        <v>128</v>
      </c>
      <c r="L243" s="302">
        <v>244</v>
      </c>
      <c r="M243" s="302">
        <f t="shared" si="45"/>
        <v>450</v>
      </c>
      <c r="N243" s="302">
        <v>415</v>
      </c>
      <c r="O243" s="336">
        <v>0.15</v>
      </c>
      <c r="P243" s="302">
        <v>50</v>
      </c>
      <c r="Q243" s="302">
        <f t="shared" si="31"/>
        <v>464.3775</v>
      </c>
      <c r="R243" s="302">
        <v>26</v>
      </c>
      <c r="S243" s="302">
        <v>90</v>
      </c>
      <c r="T243" s="302"/>
      <c r="U243" s="302">
        <v>72</v>
      </c>
      <c r="V243" s="299">
        <v>6.4</v>
      </c>
      <c r="W243" s="299">
        <v>10.199999999999999</v>
      </c>
      <c r="X243" s="299">
        <v>3.5</v>
      </c>
      <c r="Y243" s="299">
        <v>3.3</v>
      </c>
      <c r="Z243" s="304">
        <v>11.9</v>
      </c>
      <c r="AA243" s="293" t="s">
        <v>309</v>
      </c>
      <c r="AB243" s="310" t="s">
        <v>309</v>
      </c>
      <c r="AC243" s="294"/>
      <c r="AD243" s="295" t="str">
        <f>IF(COUNTA(B243:AA243)&lt;21,"x","")</f>
        <v/>
      </c>
    </row>
    <row r="244" spans="1:36" s="296" customFormat="1" ht="17.25" customHeight="1" x14ac:dyDescent="0.2">
      <c r="A244" s="727"/>
      <c r="B244" s="297" t="s">
        <v>507</v>
      </c>
      <c r="C244" s="298">
        <v>890</v>
      </c>
      <c r="D244" s="299">
        <v>7.5</v>
      </c>
      <c r="E244" s="299">
        <v>12.1</v>
      </c>
      <c r="F244" s="300">
        <v>205</v>
      </c>
      <c r="G244" s="301">
        <v>0.28000000000000003</v>
      </c>
      <c r="H244" s="302">
        <v>186</v>
      </c>
      <c r="I244" s="303">
        <v>3.1</v>
      </c>
      <c r="J244" s="302"/>
      <c r="K244" s="302">
        <v>144</v>
      </c>
      <c r="L244" s="302">
        <v>250</v>
      </c>
      <c r="M244" s="302">
        <f t="shared" si="45"/>
        <v>434</v>
      </c>
      <c r="N244" s="302">
        <v>260</v>
      </c>
      <c r="O244" s="336">
        <v>0.15</v>
      </c>
      <c r="P244" s="302">
        <v>100</v>
      </c>
      <c r="Q244" s="302">
        <f t="shared" si="31"/>
        <v>359.61</v>
      </c>
      <c r="R244" s="302">
        <v>28</v>
      </c>
      <c r="S244" s="302">
        <v>101</v>
      </c>
      <c r="T244" s="302"/>
      <c r="U244" s="302">
        <v>83</v>
      </c>
      <c r="V244" s="299">
        <v>9.1</v>
      </c>
      <c r="W244" s="299">
        <v>8.8000000000000007</v>
      </c>
      <c r="X244" s="299">
        <v>4.4000000000000004</v>
      </c>
      <c r="Y244" s="299">
        <v>3.5</v>
      </c>
      <c r="Z244" s="304">
        <v>13.3</v>
      </c>
      <c r="AA244" s="293" t="s">
        <v>309</v>
      </c>
      <c r="AB244" s="310" t="s">
        <v>309</v>
      </c>
      <c r="AC244" s="294"/>
      <c r="AD244" s="295" t="str">
        <f>IF(COUNTA(B244:AA244)&lt;21,"x","")</f>
        <v/>
      </c>
    </row>
    <row r="245" spans="1:36" s="296" customFormat="1" ht="17.25" customHeight="1" x14ac:dyDescent="0.2">
      <c r="A245" s="727"/>
      <c r="B245" s="297" t="s">
        <v>510</v>
      </c>
      <c r="C245" s="298">
        <v>900</v>
      </c>
      <c r="D245" s="299">
        <v>7.5</v>
      </c>
      <c r="E245" s="299">
        <v>12</v>
      </c>
      <c r="F245" s="300">
        <v>205</v>
      </c>
      <c r="G245" s="301">
        <v>0.3</v>
      </c>
      <c r="H245" s="302">
        <v>194</v>
      </c>
      <c r="I245" s="303">
        <v>1.9</v>
      </c>
      <c r="J245" s="302"/>
      <c r="K245" s="302">
        <v>146</v>
      </c>
      <c r="L245" s="302">
        <v>255</v>
      </c>
      <c r="M245" s="302">
        <f t="shared" si="45"/>
        <v>429</v>
      </c>
      <c r="N245" s="302">
        <v>260</v>
      </c>
      <c r="O245" s="336">
        <v>0.15</v>
      </c>
      <c r="P245" s="302">
        <v>100</v>
      </c>
      <c r="Q245" s="302">
        <f t="shared" si="31"/>
        <v>359.61</v>
      </c>
      <c r="R245" s="302">
        <v>28</v>
      </c>
      <c r="S245" s="302">
        <v>101</v>
      </c>
      <c r="T245" s="302"/>
      <c r="U245" s="302">
        <v>83</v>
      </c>
      <c r="V245" s="299">
        <v>9.1</v>
      </c>
      <c r="W245" s="299">
        <v>8.9</v>
      </c>
      <c r="X245" s="299">
        <v>4.4000000000000004</v>
      </c>
      <c r="Y245" s="299">
        <v>3.5</v>
      </c>
      <c r="Z245" s="304">
        <v>13.4</v>
      </c>
      <c r="AA245" s="293"/>
      <c r="AB245" s="310"/>
      <c r="AC245" s="294"/>
      <c r="AD245" s="295"/>
    </row>
    <row r="246" spans="1:36" s="296" customFormat="1" ht="17.25" customHeight="1" x14ac:dyDescent="0.2">
      <c r="A246" s="727"/>
      <c r="B246" s="297" t="s">
        <v>508</v>
      </c>
      <c r="C246" s="298">
        <v>880</v>
      </c>
      <c r="D246" s="299">
        <v>7.9</v>
      </c>
      <c r="E246" s="299">
        <v>12.6</v>
      </c>
      <c r="F246" s="300">
        <v>229</v>
      </c>
      <c r="G246" s="301">
        <v>0.28999999999999998</v>
      </c>
      <c r="H246" s="302">
        <v>195</v>
      </c>
      <c r="I246" s="303">
        <v>5.3</v>
      </c>
      <c r="J246" s="302"/>
      <c r="K246" s="302">
        <v>120</v>
      </c>
      <c r="L246" s="302">
        <v>212</v>
      </c>
      <c r="M246" s="302">
        <f t="shared" si="45"/>
        <v>466</v>
      </c>
      <c r="N246" s="302">
        <v>430</v>
      </c>
      <c r="O246" s="336">
        <v>0.15</v>
      </c>
      <c r="P246" s="302">
        <v>50</v>
      </c>
      <c r="Q246" s="302">
        <f t="shared" si="31"/>
        <v>479.35500000000002</v>
      </c>
      <c r="R246" s="302">
        <v>24</v>
      </c>
      <c r="S246" s="302">
        <v>84</v>
      </c>
      <c r="T246" s="302"/>
      <c r="U246" s="302">
        <v>69</v>
      </c>
      <c r="V246" s="299">
        <v>8.6</v>
      </c>
      <c r="W246" s="299">
        <v>9.6999999999999993</v>
      </c>
      <c r="X246" s="299">
        <v>1.9</v>
      </c>
      <c r="Y246" s="299">
        <v>2.6</v>
      </c>
      <c r="Z246" s="304">
        <v>12.2</v>
      </c>
      <c r="AA246" s="293"/>
      <c r="AB246" s="310"/>
      <c r="AC246" s="294"/>
      <c r="AD246" s="295"/>
    </row>
    <row r="247" spans="1:36" s="296" customFormat="1" ht="17.25" customHeight="1" x14ac:dyDescent="0.2">
      <c r="A247" s="727"/>
      <c r="B247" s="297" t="s">
        <v>509</v>
      </c>
      <c r="C247" s="298">
        <v>890</v>
      </c>
      <c r="D247" s="299">
        <v>7.9</v>
      </c>
      <c r="E247" s="299">
        <v>12.6</v>
      </c>
      <c r="F247" s="300">
        <v>223</v>
      </c>
      <c r="G247" s="301">
        <v>0.28999999999999998</v>
      </c>
      <c r="H247" s="302">
        <v>194</v>
      </c>
      <c r="I247" s="303">
        <v>4.7</v>
      </c>
      <c r="J247" s="302"/>
      <c r="K247" s="302">
        <v>122</v>
      </c>
      <c r="L247" s="302">
        <v>205</v>
      </c>
      <c r="M247" s="302">
        <f t="shared" si="45"/>
        <v>471</v>
      </c>
      <c r="N247" s="302">
        <v>290</v>
      </c>
      <c r="O247" s="336">
        <v>0.15</v>
      </c>
      <c r="P247" s="302">
        <v>110</v>
      </c>
      <c r="Q247" s="302">
        <f t="shared" si="31"/>
        <v>399.565</v>
      </c>
      <c r="R247" s="302">
        <v>24</v>
      </c>
      <c r="S247" s="302">
        <v>84</v>
      </c>
      <c r="T247" s="302"/>
      <c r="U247" s="302">
        <v>77</v>
      </c>
      <c r="V247" s="299">
        <v>11.3</v>
      </c>
      <c r="W247" s="299">
        <v>8</v>
      </c>
      <c r="X247" s="299">
        <v>2.1</v>
      </c>
      <c r="Y247" s="299">
        <v>2.6</v>
      </c>
      <c r="Z247" s="304">
        <v>13.4</v>
      </c>
      <c r="AA247" s="293"/>
      <c r="AB247" s="310"/>
      <c r="AC247" s="294"/>
      <c r="AD247" s="295"/>
    </row>
    <row r="248" spans="1:36" s="296" customFormat="1" ht="17.25" customHeight="1" x14ac:dyDescent="0.2">
      <c r="A248" s="727"/>
      <c r="B248" s="297" t="s">
        <v>511</v>
      </c>
      <c r="C248" s="298">
        <v>890</v>
      </c>
      <c r="D248" s="299">
        <v>7.9</v>
      </c>
      <c r="E248" s="299">
        <v>12.5</v>
      </c>
      <c r="F248" s="300">
        <v>226</v>
      </c>
      <c r="G248" s="301">
        <v>0.36</v>
      </c>
      <c r="H248" s="302">
        <v>211</v>
      </c>
      <c r="I248" s="303">
        <v>2.5</v>
      </c>
      <c r="J248" s="302"/>
      <c r="K248" s="302">
        <v>121</v>
      </c>
      <c r="L248" s="302">
        <v>208</v>
      </c>
      <c r="M248" s="302">
        <f t="shared" si="45"/>
        <v>467</v>
      </c>
      <c r="N248" s="302">
        <v>360</v>
      </c>
      <c r="O248" s="336">
        <v>0.15</v>
      </c>
      <c r="P248" s="302">
        <v>90</v>
      </c>
      <c r="Q248" s="302">
        <f t="shared" si="31"/>
        <v>449.46</v>
      </c>
      <c r="R248" s="302">
        <v>26</v>
      </c>
      <c r="S248" s="302">
        <v>78</v>
      </c>
      <c r="T248" s="302"/>
      <c r="U248" s="302">
        <v>73</v>
      </c>
      <c r="V248" s="299">
        <v>10.7</v>
      </c>
      <c r="W248" s="299">
        <v>7.6</v>
      </c>
      <c r="X248" s="299">
        <v>3</v>
      </c>
      <c r="Y248" s="299">
        <v>4.2</v>
      </c>
      <c r="Z248" s="304">
        <v>12.1</v>
      </c>
      <c r="AA248" s="293"/>
      <c r="AB248" s="310"/>
      <c r="AC248" s="294"/>
      <c r="AD248" s="295"/>
    </row>
    <row r="249" spans="1:36" s="296" customFormat="1" ht="17.25" customHeight="1" x14ac:dyDescent="0.2">
      <c r="A249" s="727"/>
      <c r="B249" s="297" t="s">
        <v>92</v>
      </c>
      <c r="C249" s="298">
        <v>880</v>
      </c>
      <c r="D249" s="299">
        <v>7.5</v>
      </c>
      <c r="E249" s="299">
        <v>12</v>
      </c>
      <c r="F249" s="300">
        <v>234</v>
      </c>
      <c r="G249" s="301">
        <v>0.28000000000000003</v>
      </c>
      <c r="H249" s="302">
        <v>193</v>
      </c>
      <c r="I249" s="303">
        <v>7</v>
      </c>
      <c r="J249" s="302"/>
      <c r="K249" s="302">
        <v>146</v>
      </c>
      <c r="L249" s="302">
        <v>268</v>
      </c>
      <c r="M249" s="302">
        <f t="shared" si="45"/>
        <v>398</v>
      </c>
      <c r="N249" s="302">
        <v>280</v>
      </c>
      <c r="O249" s="336">
        <v>0.15</v>
      </c>
      <c r="P249" s="302">
        <v>80</v>
      </c>
      <c r="Q249" s="302">
        <f t="shared" si="31"/>
        <v>359.58</v>
      </c>
      <c r="R249" s="302">
        <v>24</v>
      </c>
      <c r="S249" s="302">
        <v>107</v>
      </c>
      <c r="T249" s="302"/>
      <c r="U249" s="302">
        <v>76</v>
      </c>
      <c r="V249" s="299">
        <v>9.6</v>
      </c>
      <c r="W249" s="299">
        <v>7.2</v>
      </c>
      <c r="X249" s="299">
        <v>2.8</v>
      </c>
      <c r="Y249" s="299">
        <v>4</v>
      </c>
      <c r="Z249" s="304">
        <v>12.9</v>
      </c>
      <c r="AA249" s="293" t="s">
        <v>309</v>
      </c>
      <c r="AB249" s="310" t="s">
        <v>309</v>
      </c>
      <c r="AC249" s="294"/>
      <c r="AD249" s="295" t="str">
        <f>IF(COUNTA(B249:AA249)&lt;21,"x","")</f>
        <v/>
      </c>
    </row>
    <row r="250" spans="1:36" s="296" customFormat="1" ht="17.25" customHeight="1" x14ac:dyDescent="0.2">
      <c r="A250" s="727"/>
      <c r="B250" s="297" t="s">
        <v>93</v>
      </c>
      <c r="C250" s="298">
        <v>880</v>
      </c>
      <c r="D250" s="299">
        <v>6.9</v>
      </c>
      <c r="E250" s="299">
        <v>11.2</v>
      </c>
      <c r="F250" s="300">
        <v>269</v>
      </c>
      <c r="G250" s="301">
        <v>0.31</v>
      </c>
      <c r="H250" s="302">
        <v>198</v>
      </c>
      <c r="I250" s="303">
        <v>12</v>
      </c>
      <c r="J250" s="302"/>
      <c r="K250" s="302">
        <v>202</v>
      </c>
      <c r="L250" s="302">
        <v>351</v>
      </c>
      <c r="M250" s="302">
        <f t="shared" si="45"/>
        <v>261</v>
      </c>
      <c r="N250" s="302">
        <v>180</v>
      </c>
      <c r="O250" s="336">
        <v>0.15</v>
      </c>
      <c r="P250" s="302">
        <v>80</v>
      </c>
      <c r="Q250" s="302">
        <f t="shared" ref="Q250:Q278" si="46">N250*(100-O250)/100+P250</f>
        <v>259.73</v>
      </c>
      <c r="R250" s="302">
        <v>29</v>
      </c>
      <c r="S250" s="302">
        <v>145</v>
      </c>
      <c r="T250" s="302"/>
      <c r="U250" s="302">
        <v>90</v>
      </c>
      <c r="V250" s="299">
        <v>10.7</v>
      </c>
      <c r="W250" s="299">
        <v>9.1</v>
      </c>
      <c r="X250" s="299">
        <v>3.5</v>
      </c>
      <c r="Y250" s="299">
        <v>5.0999999999999996</v>
      </c>
      <c r="Z250" s="304">
        <v>13.8</v>
      </c>
      <c r="AA250" s="293" t="s">
        <v>309</v>
      </c>
      <c r="AB250" s="310" t="s">
        <v>309</v>
      </c>
      <c r="AC250" s="294"/>
      <c r="AD250" s="295" t="str">
        <f>IF(COUNTA(B250:AA250)&lt;21,"x","")</f>
        <v/>
      </c>
    </row>
    <row r="251" spans="1:36" s="72" customFormat="1" ht="17.25" customHeight="1" x14ac:dyDescent="0.2">
      <c r="A251" s="704" t="s">
        <v>549</v>
      </c>
      <c r="B251" s="263"/>
      <c r="C251" s="264">
        <v>0</v>
      </c>
      <c r="D251" s="265"/>
      <c r="E251" s="265"/>
      <c r="F251" s="266"/>
      <c r="G251" s="265"/>
      <c r="H251" s="265"/>
      <c r="I251" s="265"/>
      <c r="J251" s="265"/>
      <c r="K251" s="265"/>
      <c r="L251" s="265"/>
      <c r="M251" s="265"/>
      <c r="N251" s="265"/>
      <c r="O251" s="265"/>
      <c r="P251" s="265"/>
      <c r="Q251" s="265"/>
      <c r="R251" s="265"/>
      <c r="S251" s="265"/>
      <c r="T251" s="265"/>
      <c r="U251" s="265"/>
      <c r="V251" s="265"/>
      <c r="W251" s="267"/>
      <c r="X251" s="267"/>
      <c r="Y251" s="267"/>
      <c r="Z251" s="268"/>
      <c r="AA251" s="268"/>
      <c r="AB251" s="264"/>
      <c r="AC251" s="270"/>
      <c r="AD251" s="73"/>
      <c r="AE251" s="73"/>
      <c r="AF251" s="73"/>
      <c r="AG251" s="73"/>
      <c r="AH251" s="73"/>
      <c r="AI251" s="73"/>
      <c r="AJ251" s="73"/>
    </row>
    <row r="252" spans="1:36" s="72" customFormat="1" ht="17.25" customHeight="1" x14ac:dyDescent="0.2">
      <c r="A252" s="712"/>
      <c r="B252" s="330"/>
      <c r="C252" s="331">
        <v>0</v>
      </c>
      <c r="D252" s="326"/>
      <c r="E252" s="326"/>
      <c r="F252" s="327"/>
      <c r="G252" s="333"/>
      <c r="H252" s="329"/>
      <c r="I252" s="326"/>
      <c r="J252" s="326"/>
      <c r="K252" s="329"/>
      <c r="L252" s="329"/>
      <c r="M252" s="329"/>
      <c r="N252" s="329"/>
      <c r="O252" s="333"/>
      <c r="P252" s="329"/>
      <c r="Q252" s="87">
        <f t="shared" ref="Q252:Q259" si="47">(N252-O252*N252)+P252</f>
        <v>0</v>
      </c>
      <c r="R252" s="329"/>
      <c r="S252" s="329"/>
      <c r="T252" s="92"/>
      <c r="U252" s="329"/>
      <c r="V252" s="326"/>
      <c r="W252" s="326"/>
      <c r="X252" s="326"/>
      <c r="Y252" s="326"/>
      <c r="Z252" s="334"/>
      <c r="AA252" s="335"/>
      <c r="AB252" s="331"/>
      <c r="AC252" s="271"/>
      <c r="AD252" s="78"/>
      <c r="AE252" s="78"/>
      <c r="AF252" s="78"/>
      <c r="AG252" s="78"/>
      <c r="AH252" s="78"/>
      <c r="AI252" s="78"/>
      <c r="AJ252" s="78"/>
    </row>
    <row r="253" spans="1:36" s="72" customFormat="1" ht="17.25" customHeight="1" x14ac:dyDescent="0.2">
      <c r="A253" s="712"/>
      <c r="B253" s="330"/>
      <c r="C253" s="331">
        <v>0</v>
      </c>
      <c r="D253" s="326"/>
      <c r="E253" s="326"/>
      <c r="F253" s="327"/>
      <c r="G253" s="333"/>
      <c r="H253" s="329"/>
      <c r="I253" s="326"/>
      <c r="J253" s="326"/>
      <c r="K253" s="329"/>
      <c r="L253" s="329"/>
      <c r="M253" s="329"/>
      <c r="N253" s="329"/>
      <c r="O253" s="333"/>
      <c r="P253" s="329"/>
      <c r="Q253" s="87">
        <f t="shared" si="47"/>
        <v>0</v>
      </c>
      <c r="R253" s="329"/>
      <c r="S253" s="329"/>
      <c r="T253" s="92"/>
      <c r="U253" s="329"/>
      <c r="V253" s="326"/>
      <c r="W253" s="326"/>
      <c r="X253" s="326"/>
      <c r="Y253" s="326"/>
      <c r="Z253" s="334"/>
      <c r="AA253" s="335"/>
      <c r="AB253" s="331"/>
      <c r="AC253" s="271"/>
      <c r="AD253" s="78"/>
      <c r="AE253" s="78"/>
      <c r="AF253" s="78"/>
      <c r="AG253" s="78"/>
      <c r="AH253" s="78"/>
      <c r="AI253" s="78"/>
      <c r="AJ253" s="78"/>
    </row>
    <row r="254" spans="1:36" s="72" customFormat="1" ht="17.25" customHeight="1" x14ac:dyDescent="0.2">
      <c r="A254" s="712"/>
      <c r="B254" s="330"/>
      <c r="C254" s="331">
        <v>0</v>
      </c>
      <c r="D254" s="326"/>
      <c r="E254" s="326"/>
      <c r="F254" s="327"/>
      <c r="G254" s="333"/>
      <c r="H254" s="329"/>
      <c r="I254" s="326"/>
      <c r="J254" s="326"/>
      <c r="K254" s="329"/>
      <c r="L254" s="329"/>
      <c r="M254" s="329"/>
      <c r="N254" s="329"/>
      <c r="O254" s="333"/>
      <c r="P254" s="329"/>
      <c r="Q254" s="87">
        <f t="shared" si="47"/>
        <v>0</v>
      </c>
      <c r="R254" s="329"/>
      <c r="S254" s="329"/>
      <c r="T254" s="92"/>
      <c r="U254" s="329"/>
      <c r="V254" s="326"/>
      <c r="W254" s="326"/>
      <c r="X254" s="326"/>
      <c r="Y254" s="326"/>
      <c r="Z254" s="334"/>
      <c r="AA254" s="335"/>
      <c r="AB254" s="331"/>
      <c r="AC254" s="271"/>
      <c r="AD254" s="78"/>
      <c r="AE254" s="78"/>
      <c r="AF254" s="78"/>
      <c r="AG254" s="78"/>
      <c r="AH254" s="78"/>
      <c r="AI254" s="78"/>
      <c r="AJ254" s="78"/>
    </row>
    <row r="255" spans="1:36" s="72" customFormat="1" ht="17.25" customHeight="1" x14ac:dyDescent="0.2">
      <c r="A255" s="712"/>
      <c r="B255" s="330"/>
      <c r="C255" s="331">
        <v>0</v>
      </c>
      <c r="D255" s="326"/>
      <c r="E255" s="326"/>
      <c r="F255" s="327"/>
      <c r="G255" s="333"/>
      <c r="H255" s="329"/>
      <c r="I255" s="326"/>
      <c r="J255" s="326"/>
      <c r="K255" s="329"/>
      <c r="L255" s="329"/>
      <c r="M255" s="329"/>
      <c r="N255" s="329"/>
      <c r="O255" s="333"/>
      <c r="P255" s="329"/>
      <c r="Q255" s="87">
        <f t="shared" si="47"/>
        <v>0</v>
      </c>
      <c r="R255" s="329"/>
      <c r="S255" s="329"/>
      <c r="T255" s="92"/>
      <c r="U255" s="329"/>
      <c r="V255" s="326"/>
      <c r="W255" s="326"/>
      <c r="X255" s="326"/>
      <c r="Y255" s="326"/>
      <c r="Z255" s="334"/>
      <c r="AA255" s="335"/>
      <c r="AB255" s="331"/>
      <c r="AC255" s="271"/>
      <c r="AD255" s="78"/>
      <c r="AE255" s="78"/>
      <c r="AF255" s="78"/>
      <c r="AG255" s="78"/>
      <c r="AH255" s="78"/>
      <c r="AI255" s="78"/>
      <c r="AJ255" s="78"/>
    </row>
    <row r="256" spans="1:36" s="72" customFormat="1" ht="17.25" customHeight="1" x14ac:dyDescent="0.2">
      <c r="A256" s="712"/>
      <c r="B256" s="91"/>
      <c r="C256" s="331">
        <v>0</v>
      </c>
      <c r="D256" s="85"/>
      <c r="E256" s="85"/>
      <c r="F256" s="327"/>
      <c r="G256" s="328"/>
      <c r="H256" s="87"/>
      <c r="I256" s="332"/>
      <c r="J256" s="85"/>
      <c r="K256" s="87"/>
      <c r="L256" s="87"/>
      <c r="M256" s="87"/>
      <c r="N256" s="87"/>
      <c r="O256" s="333"/>
      <c r="P256" s="87"/>
      <c r="Q256" s="87">
        <f t="shared" si="47"/>
        <v>0</v>
      </c>
      <c r="R256" s="329"/>
      <c r="S256" s="329"/>
      <c r="T256" s="92"/>
      <c r="U256" s="329"/>
      <c r="V256" s="326"/>
      <c r="W256" s="326"/>
      <c r="X256" s="326"/>
      <c r="Y256" s="326"/>
      <c r="Z256" s="334"/>
      <c r="AA256" s="335"/>
      <c r="AB256" s="331"/>
      <c r="AC256" s="271"/>
      <c r="AD256" s="78"/>
      <c r="AE256" s="78"/>
      <c r="AF256" s="78"/>
      <c r="AG256" s="78"/>
      <c r="AH256" s="78"/>
      <c r="AI256" s="78"/>
      <c r="AJ256" s="78"/>
    </row>
    <row r="257" spans="1:36" s="72" customFormat="1" ht="17.25" customHeight="1" x14ac:dyDescent="0.2">
      <c r="A257" s="712"/>
      <c r="B257" s="91"/>
      <c r="C257" s="331">
        <v>0</v>
      </c>
      <c r="D257" s="85"/>
      <c r="E257" s="85"/>
      <c r="F257" s="327"/>
      <c r="G257" s="328"/>
      <c r="H257" s="87"/>
      <c r="I257" s="332"/>
      <c r="J257" s="85"/>
      <c r="K257" s="87"/>
      <c r="L257" s="87"/>
      <c r="M257" s="87"/>
      <c r="N257" s="87"/>
      <c r="O257" s="333"/>
      <c r="P257" s="87"/>
      <c r="Q257" s="87">
        <f t="shared" si="47"/>
        <v>0</v>
      </c>
      <c r="R257" s="329"/>
      <c r="S257" s="87"/>
      <c r="T257" s="92"/>
      <c r="U257" s="87"/>
      <c r="V257" s="85"/>
      <c r="W257" s="85"/>
      <c r="X257" s="85"/>
      <c r="Y257" s="85"/>
      <c r="Z257" s="87"/>
      <c r="AA257" s="331"/>
      <c r="AB257" s="343"/>
      <c r="AC257" s="271"/>
      <c r="AD257" s="78"/>
      <c r="AE257" s="78"/>
      <c r="AF257" s="78"/>
      <c r="AG257" s="78"/>
      <c r="AH257" s="78"/>
      <c r="AI257" s="78"/>
      <c r="AJ257" s="78"/>
    </row>
    <row r="258" spans="1:36" s="72" customFormat="1" ht="17.25" customHeight="1" x14ac:dyDescent="0.2">
      <c r="A258" s="712"/>
      <c r="B258" s="91"/>
      <c r="C258" s="331">
        <v>0</v>
      </c>
      <c r="D258" s="85"/>
      <c r="E258" s="85"/>
      <c r="F258" s="327"/>
      <c r="G258" s="328"/>
      <c r="H258" s="87"/>
      <c r="I258" s="332"/>
      <c r="J258" s="85"/>
      <c r="K258" s="87"/>
      <c r="L258" s="87"/>
      <c r="M258" s="342"/>
      <c r="N258" s="87"/>
      <c r="O258" s="333"/>
      <c r="P258" s="87"/>
      <c r="Q258" s="87">
        <f t="shared" si="47"/>
        <v>0</v>
      </c>
      <c r="R258" s="329"/>
      <c r="S258" s="87"/>
      <c r="T258" s="92"/>
      <c r="U258" s="87"/>
      <c r="V258" s="85"/>
      <c r="W258" s="85"/>
      <c r="X258" s="85"/>
      <c r="Y258" s="85"/>
      <c r="Z258" s="87"/>
      <c r="AA258" s="331"/>
      <c r="AB258" s="343"/>
      <c r="AC258" s="271"/>
      <c r="AD258" s="78"/>
      <c r="AE258" s="78"/>
      <c r="AF258" s="78"/>
      <c r="AG258" s="78"/>
      <c r="AH258" s="78"/>
      <c r="AI258" s="78"/>
      <c r="AJ258" s="78"/>
    </row>
    <row r="259" spans="1:36" s="72" customFormat="1" ht="17.25" customHeight="1" x14ac:dyDescent="0.2">
      <c r="A259" s="712"/>
      <c r="B259" s="91"/>
      <c r="C259" s="331">
        <v>0</v>
      </c>
      <c r="D259" s="85"/>
      <c r="E259" s="85"/>
      <c r="F259" s="327"/>
      <c r="G259" s="328"/>
      <c r="H259" s="87"/>
      <c r="I259" s="332"/>
      <c r="J259" s="85"/>
      <c r="K259" s="87"/>
      <c r="L259" s="87"/>
      <c r="M259" s="87"/>
      <c r="N259" s="87"/>
      <c r="O259" s="333"/>
      <c r="P259" s="87"/>
      <c r="Q259" s="87">
        <f t="shared" si="47"/>
        <v>0</v>
      </c>
      <c r="R259" s="329"/>
      <c r="S259" s="87"/>
      <c r="T259" s="92"/>
      <c r="U259" s="87"/>
      <c r="V259" s="85"/>
      <c r="W259" s="85"/>
      <c r="X259" s="85"/>
      <c r="Y259" s="85"/>
      <c r="Z259" s="87"/>
      <c r="AA259" s="331"/>
      <c r="AB259" s="331"/>
      <c r="AC259" s="271"/>
      <c r="AD259" s="78"/>
      <c r="AE259" s="78"/>
      <c r="AF259" s="78"/>
      <c r="AG259" s="78"/>
      <c r="AH259" s="78"/>
      <c r="AI259" s="78"/>
      <c r="AJ259" s="78"/>
    </row>
    <row r="260" spans="1:36" s="72" customFormat="1" ht="17.25" customHeight="1" x14ac:dyDescent="0.2">
      <c r="A260" s="712"/>
      <c r="B260" s="91"/>
      <c r="C260" s="331">
        <v>0</v>
      </c>
      <c r="D260" s="85"/>
      <c r="E260" s="85"/>
      <c r="F260" s="327"/>
      <c r="G260" s="328"/>
      <c r="H260" s="87"/>
      <c r="I260" s="332"/>
      <c r="J260" s="85"/>
      <c r="K260" s="87"/>
      <c r="L260" s="87"/>
      <c r="M260" s="87"/>
      <c r="N260" s="87"/>
      <c r="O260" s="333"/>
      <c r="P260" s="87"/>
      <c r="Q260" s="329">
        <f>N260*(100-O260)/100+P260</f>
        <v>0</v>
      </c>
      <c r="R260" s="329"/>
      <c r="S260" s="87"/>
      <c r="T260" s="92"/>
      <c r="U260" s="87"/>
      <c r="V260" s="85"/>
      <c r="W260" s="85"/>
      <c r="X260" s="85"/>
      <c r="Y260" s="85"/>
      <c r="Z260" s="87"/>
      <c r="AA260" s="331"/>
      <c r="AB260" s="331"/>
      <c r="AC260" s="271"/>
      <c r="AD260" s="78"/>
      <c r="AE260" s="78"/>
      <c r="AF260" s="78"/>
      <c r="AG260" s="78"/>
      <c r="AH260" s="78"/>
      <c r="AI260" s="78"/>
      <c r="AJ260" s="78"/>
    </row>
    <row r="261" spans="1:36" s="72" customFormat="1" ht="17.25" customHeight="1" x14ac:dyDescent="0.2">
      <c r="A261" s="712"/>
      <c r="B261" s="91"/>
      <c r="C261" s="331">
        <v>0</v>
      </c>
      <c r="D261" s="85"/>
      <c r="E261" s="85"/>
      <c r="F261" s="327"/>
      <c r="G261" s="328"/>
      <c r="H261" s="87"/>
      <c r="I261" s="332"/>
      <c r="J261" s="85"/>
      <c r="K261" s="87"/>
      <c r="L261" s="87"/>
      <c r="M261" s="87"/>
      <c r="N261" s="87"/>
      <c r="O261" s="333"/>
      <c r="P261" s="87"/>
      <c r="Q261" s="305">
        <f>N261*(100-O261)/100+P261</f>
        <v>0</v>
      </c>
      <c r="R261" s="329"/>
      <c r="S261" s="87"/>
      <c r="T261" s="92"/>
      <c r="U261" s="87"/>
      <c r="V261" s="85"/>
      <c r="W261" s="85"/>
      <c r="X261" s="85"/>
      <c r="Y261" s="85"/>
      <c r="Z261" s="87"/>
      <c r="AA261" s="331"/>
      <c r="AB261" s="331"/>
      <c r="AC261" s="271"/>
      <c r="AD261" s="78"/>
      <c r="AE261" s="78"/>
      <c r="AF261" s="78"/>
      <c r="AG261" s="78"/>
      <c r="AH261" s="78"/>
      <c r="AI261" s="78"/>
      <c r="AJ261" s="78"/>
    </row>
    <row r="262" spans="1:36" s="72" customFormat="1" ht="17.25" customHeight="1" x14ac:dyDescent="0.2">
      <c r="A262" s="712"/>
      <c r="B262" s="91"/>
      <c r="C262" s="331">
        <v>0</v>
      </c>
      <c r="D262" s="85"/>
      <c r="E262" s="85"/>
      <c r="F262" s="327"/>
      <c r="G262" s="328"/>
      <c r="H262" s="87"/>
      <c r="I262" s="332"/>
      <c r="J262" s="85"/>
      <c r="K262" s="87"/>
      <c r="L262" s="87"/>
      <c r="M262" s="87"/>
      <c r="N262" s="87"/>
      <c r="O262" s="333"/>
      <c r="P262" s="87"/>
      <c r="Q262" s="305">
        <f>N262*(100-O262)/100+P262</f>
        <v>0</v>
      </c>
      <c r="R262" s="329"/>
      <c r="S262" s="87"/>
      <c r="T262" s="92"/>
      <c r="U262" s="87"/>
      <c r="V262" s="85"/>
      <c r="W262" s="85"/>
      <c r="X262" s="85"/>
      <c r="Y262" s="85"/>
      <c r="Z262" s="87"/>
      <c r="AA262" s="331"/>
      <c r="AB262" s="331"/>
      <c r="AC262" s="271"/>
      <c r="AD262" s="78"/>
      <c r="AE262" s="78"/>
      <c r="AF262" s="78"/>
      <c r="AG262" s="78"/>
      <c r="AH262" s="78"/>
      <c r="AI262" s="78"/>
      <c r="AJ262" s="78"/>
    </row>
    <row r="263" spans="1:36" s="72" customFormat="1" ht="16.5" customHeight="1" x14ac:dyDescent="0.2">
      <c r="A263" s="725"/>
      <c r="B263" s="257"/>
      <c r="C263" s="331">
        <v>0</v>
      </c>
      <c r="D263" s="85"/>
      <c r="E263" s="85"/>
      <c r="F263" s="327"/>
      <c r="G263" s="328"/>
      <c r="H263" s="87"/>
      <c r="I263" s="332"/>
      <c r="J263" s="85"/>
      <c r="K263" s="87"/>
      <c r="L263" s="87"/>
      <c r="M263" s="87"/>
      <c r="N263" s="87"/>
      <c r="O263" s="333"/>
      <c r="P263" s="87"/>
      <c r="Q263" s="305">
        <f>N263*(100-O263)/100+P263</f>
        <v>0</v>
      </c>
      <c r="R263" s="329"/>
      <c r="S263" s="87"/>
      <c r="T263" s="92"/>
      <c r="U263" s="87"/>
      <c r="V263" s="85"/>
      <c r="W263" s="85"/>
      <c r="X263" s="85"/>
      <c r="Y263" s="85"/>
      <c r="Z263" s="87"/>
      <c r="AA263" s="331"/>
      <c r="AB263" s="331"/>
      <c r="AC263" s="271"/>
      <c r="AD263" s="80"/>
      <c r="AE263" s="78"/>
      <c r="AF263" s="88"/>
      <c r="AG263" s="88"/>
      <c r="AH263" s="88"/>
      <c r="AI263" s="88"/>
      <c r="AJ263" s="84"/>
    </row>
    <row r="264" spans="1:36" s="72" customFormat="1" ht="17.25" customHeight="1" x14ac:dyDescent="0.2">
      <c r="A264" s="704" t="s">
        <v>174</v>
      </c>
      <c r="B264" s="263"/>
      <c r="C264" s="264">
        <v>0</v>
      </c>
      <c r="D264" s="265">
        <v>1E-4</v>
      </c>
      <c r="E264" s="265">
        <v>1E-4</v>
      </c>
      <c r="F264" s="266">
        <v>1E-4</v>
      </c>
      <c r="G264" s="265">
        <v>1E-4</v>
      </c>
      <c r="H264" s="265">
        <v>1E-4</v>
      </c>
      <c r="I264" s="265">
        <v>1E-4</v>
      </c>
      <c r="J264" s="265">
        <v>1E-4</v>
      </c>
      <c r="K264" s="265">
        <v>1E-4</v>
      </c>
      <c r="L264" s="265">
        <v>1E-4</v>
      </c>
      <c r="M264" s="265">
        <v>1E-4</v>
      </c>
      <c r="N264" s="265">
        <v>1E-4</v>
      </c>
      <c r="O264" s="265">
        <v>1E-4</v>
      </c>
      <c r="P264" s="265">
        <v>1E-4</v>
      </c>
      <c r="Q264" s="265">
        <v>1E-4</v>
      </c>
      <c r="R264" s="265">
        <v>1E-4</v>
      </c>
      <c r="S264" s="265">
        <v>1E-4</v>
      </c>
      <c r="T264" s="265">
        <v>1E-4</v>
      </c>
      <c r="U264" s="265">
        <v>1E-4</v>
      </c>
      <c r="V264" s="265">
        <v>1E-4</v>
      </c>
      <c r="W264" s="267">
        <v>1E-4</v>
      </c>
      <c r="X264" s="267">
        <v>1E-4</v>
      </c>
      <c r="Y264" s="267">
        <v>1E-4</v>
      </c>
      <c r="Z264" s="268">
        <v>1E-4</v>
      </c>
      <c r="AA264" s="268">
        <v>1E-4</v>
      </c>
      <c r="AB264" s="264"/>
      <c r="AC264" s="270"/>
      <c r="AD264" s="73"/>
      <c r="AE264" s="73"/>
      <c r="AF264" s="73"/>
      <c r="AG264" s="73"/>
      <c r="AH264" s="73"/>
      <c r="AI264" s="73"/>
      <c r="AJ264" s="73"/>
    </row>
    <row r="265" spans="1:36" s="296" customFormat="1" ht="17.25" customHeight="1" x14ac:dyDescent="0.2">
      <c r="A265" s="727"/>
      <c r="B265" s="297" t="s">
        <v>163</v>
      </c>
      <c r="C265" s="298">
        <v>970</v>
      </c>
      <c r="D265" s="299">
        <v>20.8</v>
      </c>
      <c r="E265" s="299">
        <v>30.7</v>
      </c>
      <c r="F265" s="300">
        <v>0</v>
      </c>
      <c r="G265" s="301">
        <v>0</v>
      </c>
      <c r="H265" s="302">
        <v>0</v>
      </c>
      <c r="I265" s="303" t="str">
        <f t="shared" ref="I265:I278" si="48">IF((F265-H265)/6.25&lt;0,ROUND((F265-H265)/6.25,0),"+"&amp;ROUND(((F265-H265)/6.25),0))</f>
        <v>+0</v>
      </c>
      <c r="J265" s="302"/>
      <c r="K265" s="302">
        <v>0</v>
      </c>
      <c r="L265" s="302">
        <v>0</v>
      </c>
      <c r="M265" s="302">
        <f>IF(AND(U265&lt;&gt;"",F265&lt;&gt;"",L265&lt;&gt;"",R265&lt;&gt;""),1000-F265-L265-R265-U265,"Fehler")</f>
        <v>0</v>
      </c>
      <c r="N265" s="302">
        <v>0</v>
      </c>
      <c r="O265" s="336">
        <v>0</v>
      </c>
      <c r="P265" s="302">
        <v>0</v>
      </c>
      <c r="Q265" s="302">
        <f t="shared" si="46"/>
        <v>0</v>
      </c>
      <c r="R265" s="302">
        <v>875</v>
      </c>
      <c r="S265" s="302">
        <v>0</v>
      </c>
      <c r="T265" s="302"/>
      <c r="U265" s="302">
        <v>125</v>
      </c>
      <c r="V265" s="299">
        <v>80</v>
      </c>
      <c r="W265" s="299">
        <v>0</v>
      </c>
      <c r="X265" s="299">
        <v>0</v>
      </c>
      <c r="Y265" s="299">
        <v>0</v>
      </c>
      <c r="Z265" s="304">
        <v>0</v>
      </c>
      <c r="AA265" s="293" t="s">
        <v>309</v>
      </c>
      <c r="AB265" s="310" t="s">
        <v>309</v>
      </c>
      <c r="AC265" s="294"/>
      <c r="AD265" s="295" t="str">
        <f>IF(COUNTA(B265:AA265)&lt;21,"x","")</f>
        <v/>
      </c>
    </row>
    <row r="266" spans="1:36" s="296" customFormat="1" ht="17.25" customHeight="1" x14ac:dyDescent="0.2">
      <c r="A266" s="727"/>
      <c r="B266" s="297" t="s">
        <v>187</v>
      </c>
      <c r="C266" s="298">
        <v>990</v>
      </c>
      <c r="D266" s="299">
        <v>20.8</v>
      </c>
      <c r="E266" s="299">
        <v>30.7</v>
      </c>
      <c r="F266" s="300">
        <v>0</v>
      </c>
      <c r="G266" s="301">
        <v>0</v>
      </c>
      <c r="H266" s="302">
        <v>0</v>
      </c>
      <c r="I266" s="303" t="str">
        <f>IF((F266-H266)/6.25&lt;0,ROUND((F266-H266)/6.25,0),"+"&amp;ROUND(((F266-H266)/6.25),0))</f>
        <v>+0</v>
      </c>
      <c r="J266" s="302"/>
      <c r="K266" s="302">
        <v>0</v>
      </c>
      <c r="L266" s="302">
        <v>0</v>
      </c>
      <c r="M266" s="302">
        <f>IF(AND(U266&lt;&gt;"",F266&lt;&gt;"",L266&lt;&gt;"",R266&lt;&gt;""),1000-F266-L266-R266-U266,"Fehler")</f>
        <v>0</v>
      </c>
      <c r="N266" s="302">
        <v>0</v>
      </c>
      <c r="O266" s="336">
        <v>0</v>
      </c>
      <c r="P266" s="302">
        <v>0</v>
      </c>
      <c r="Q266" s="302">
        <f t="shared" si="46"/>
        <v>0</v>
      </c>
      <c r="R266" s="302">
        <v>1000</v>
      </c>
      <c r="S266" s="302">
        <v>0</v>
      </c>
      <c r="T266" s="302"/>
      <c r="U266" s="302">
        <v>0</v>
      </c>
      <c r="V266" s="299">
        <v>0</v>
      </c>
      <c r="W266" s="299">
        <v>0</v>
      </c>
      <c r="X266" s="299">
        <v>0</v>
      </c>
      <c r="Y266" s="299">
        <v>0</v>
      </c>
      <c r="Z266" s="304">
        <v>0</v>
      </c>
      <c r="AA266" s="293" t="s">
        <v>309</v>
      </c>
      <c r="AB266" s="310" t="s">
        <v>309</v>
      </c>
      <c r="AC266" s="294"/>
      <c r="AD266" s="295"/>
    </row>
    <row r="267" spans="1:36" s="296" customFormat="1" ht="17.25" customHeight="1" x14ac:dyDescent="0.2">
      <c r="A267" s="727"/>
      <c r="B267" s="297" t="s">
        <v>99</v>
      </c>
      <c r="C267" s="298">
        <v>990</v>
      </c>
      <c r="D267" s="299">
        <v>0</v>
      </c>
      <c r="E267" s="299">
        <v>0</v>
      </c>
      <c r="F267" s="300">
        <f>460*6.25</f>
        <v>2875</v>
      </c>
      <c r="G267" s="301">
        <v>0</v>
      </c>
      <c r="H267" s="302">
        <v>0</v>
      </c>
      <c r="I267" s="303" t="str">
        <f t="shared" si="48"/>
        <v>+460</v>
      </c>
      <c r="J267" s="302"/>
      <c r="K267" s="302">
        <v>0</v>
      </c>
      <c r="L267" s="302">
        <v>0</v>
      </c>
      <c r="M267" s="302">
        <v>0</v>
      </c>
      <c r="N267" s="302">
        <v>0</v>
      </c>
      <c r="O267" s="336">
        <v>0</v>
      </c>
      <c r="P267" s="302">
        <v>0</v>
      </c>
      <c r="Q267" s="302">
        <f t="shared" si="46"/>
        <v>0</v>
      </c>
      <c r="R267" s="302">
        <v>0</v>
      </c>
      <c r="S267" s="302">
        <v>0</v>
      </c>
      <c r="T267" s="302"/>
      <c r="U267" s="302">
        <v>0</v>
      </c>
      <c r="V267" s="299">
        <v>0</v>
      </c>
      <c r="W267" s="299">
        <v>0</v>
      </c>
      <c r="X267" s="299">
        <v>0</v>
      </c>
      <c r="Y267" s="299">
        <v>0</v>
      </c>
      <c r="Z267" s="304">
        <v>0</v>
      </c>
      <c r="AA267" s="293" t="s">
        <v>309</v>
      </c>
      <c r="AB267" s="310" t="s">
        <v>309</v>
      </c>
      <c r="AC267" s="294"/>
      <c r="AD267" s="295" t="str">
        <f>IF(COUNTA(B267:AA267)&lt;21,"x","")</f>
        <v/>
      </c>
    </row>
    <row r="268" spans="1:36" s="296" customFormat="1" ht="17.25" customHeight="1" x14ac:dyDescent="0.2">
      <c r="A268" s="727"/>
      <c r="B268" s="297" t="s">
        <v>97</v>
      </c>
      <c r="C268" s="298">
        <v>960</v>
      </c>
      <c r="D268" s="299">
        <v>0</v>
      </c>
      <c r="E268" s="299">
        <v>0</v>
      </c>
      <c r="F268" s="300">
        <v>0</v>
      </c>
      <c r="G268" s="301">
        <v>0</v>
      </c>
      <c r="H268" s="302">
        <v>0</v>
      </c>
      <c r="I268" s="303" t="str">
        <f t="shared" si="48"/>
        <v>+0</v>
      </c>
      <c r="J268" s="302"/>
      <c r="K268" s="302">
        <v>0</v>
      </c>
      <c r="L268" s="302">
        <v>0</v>
      </c>
      <c r="M268" s="302">
        <f t="shared" ref="M268:M275" si="49">IF(AND(U268&lt;&gt;"",F268&lt;&gt;"",L268&lt;&gt;"",R268&lt;&gt;""),1000-F268-L268-R268-U268,"Fehler")</f>
        <v>0</v>
      </c>
      <c r="N268" s="302">
        <v>0</v>
      </c>
      <c r="O268" s="336">
        <v>0</v>
      </c>
      <c r="P268" s="302">
        <v>0</v>
      </c>
      <c r="Q268" s="302">
        <f t="shared" si="46"/>
        <v>0</v>
      </c>
      <c r="R268" s="302">
        <v>0</v>
      </c>
      <c r="S268" s="302">
        <v>0</v>
      </c>
      <c r="T268" s="302"/>
      <c r="U268" s="302">
        <v>1000</v>
      </c>
      <c r="V268" s="299">
        <v>381</v>
      </c>
      <c r="W268" s="299">
        <v>0.4</v>
      </c>
      <c r="X268" s="299">
        <v>0</v>
      </c>
      <c r="Y268" s="299">
        <v>1.6</v>
      </c>
      <c r="Z268" s="304">
        <v>0</v>
      </c>
      <c r="AA268" s="293" t="s">
        <v>309</v>
      </c>
      <c r="AB268" s="310">
        <v>0</v>
      </c>
      <c r="AC268" s="294"/>
      <c r="AD268" s="295" t="str">
        <f>IF(COUNTA(B268:AA268)&lt;21,"x","")</f>
        <v/>
      </c>
    </row>
    <row r="269" spans="1:36" s="296" customFormat="1" ht="17.25" customHeight="1" x14ac:dyDescent="0.2">
      <c r="A269" s="727"/>
      <c r="B269" s="297" t="s">
        <v>194</v>
      </c>
      <c r="C269" s="298">
        <v>980</v>
      </c>
      <c r="D269" s="299">
        <v>0</v>
      </c>
      <c r="E269" s="299">
        <v>0</v>
      </c>
      <c r="F269" s="300">
        <v>0</v>
      </c>
      <c r="G269" s="301">
        <v>0</v>
      </c>
      <c r="H269" s="302">
        <v>0</v>
      </c>
      <c r="I269" s="303" t="str">
        <f>IF((F269-H269)/6.25&lt;0,ROUND((F269-H269)/6.25,0),"+"&amp;ROUND(((F269-H269)/6.25),0))</f>
        <v>+0</v>
      </c>
      <c r="J269" s="302"/>
      <c r="K269" s="302">
        <v>0</v>
      </c>
      <c r="L269" s="302">
        <v>0</v>
      </c>
      <c r="M269" s="302">
        <f t="shared" si="49"/>
        <v>8</v>
      </c>
      <c r="N269" s="302">
        <v>0</v>
      </c>
      <c r="O269" s="336">
        <v>0</v>
      </c>
      <c r="P269" s="302">
        <v>0</v>
      </c>
      <c r="Q269" s="302">
        <f t="shared" si="46"/>
        <v>0</v>
      </c>
      <c r="R269" s="302">
        <v>2</v>
      </c>
      <c r="S269" s="302">
        <v>5</v>
      </c>
      <c r="T269" s="302"/>
      <c r="U269" s="302">
        <v>990</v>
      </c>
      <c r="V269" s="299">
        <f>10/0.98</f>
        <v>10.204081632653061</v>
      </c>
      <c r="W269" s="299">
        <f>80/0.98</f>
        <v>81.632653061224488</v>
      </c>
      <c r="X269" s="299">
        <f>80/0.98</f>
        <v>81.632653061224488</v>
      </c>
      <c r="Y269" s="299">
        <f>140/0.98</f>
        <v>142.85714285714286</v>
      </c>
      <c r="Z269" s="304">
        <v>5</v>
      </c>
      <c r="AA269" s="293" t="s">
        <v>309</v>
      </c>
      <c r="AB269" s="310" t="s">
        <v>309</v>
      </c>
      <c r="AC269" s="294"/>
      <c r="AD269" s="295"/>
    </row>
    <row r="270" spans="1:36" s="296" customFormat="1" ht="17.25" customHeight="1" x14ac:dyDescent="0.2">
      <c r="A270" s="727"/>
      <c r="B270" s="297" t="s">
        <v>94</v>
      </c>
      <c r="C270" s="298">
        <v>980</v>
      </c>
      <c r="D270" s="299">
        <v>0</v>
      </c>
      <c r="E270" s="299">
        <v>0</v>
      </c>
      <c r="F270" s="300">
        <v>0</v>
      </c>
      <c r="G270" s="301">
        <v>0</v>
      </c>
      <c r="H270" s="302">
        <v>0</v>
      </c>
      <c r="I270" s="303" t="str">
        <f>IF((F270-H270)/6.25&lt;0,ROUND((F270-H270)/6.25,0),"+"&amp;ROUND(((F270-H270)/6.25),0))</f>
        <v>+0</v>
      </c>
      <c r="J270" s="302"/>
      <c r="K270" s="302">
        <v>0</v>
      </c>
      <c r="L270" s="302">
        <v>0</v>
      </c>
      <c r="M270" s="302">
        <f t="shared" si="49"/>
        <v>8</v>
      </c>
      <c r="N270" s="302">
        <v>0</v>
      </c>
      <c r="O270" s="336">
        <v>0</v>
      </c>
      <c r="P270" s="302">
        <v>0</v>
      </c>
      <c r="Q270" s="302">
        <f t="shared" si="46"/>
        <v>0</v>
      </c>
      <c r="R270" s="302">
        <v>2</v>
      </c>
      <c r="S270" s="302">
        <v>5</v>
      </c>
      <c r="T270" s="302"/>
      <c r="U270" s="302">
        <v>990</v>
      </c>
      <c r="V270" s="299">
        <f>100/0.98</f>
        <v>102.04081632653062</v>
      </c>
      <c r="W270" s="299">
        <f>120/0.98</f>
        <v>122.44897959183673</v>
      </c>
      <c r="X270" s="299">
        <v>106</v>
      </c>
      <c r="Y270" s="299">
        <f>32/0.98</f>
        <v>32.653061224489797</v>
      </c>
      <c r="Z270" s="304">
        <v>5</v>
      </c>
      <c r="AA270" s="293" t="s">
        <v>309</v>
      </c>
      <c r="AB270" s="310" t="s">
        <v>309</v>
      </c>
      <c r="AC270" s="294"/>
      <c r="AD270" s="295" t="str">
        <f>IF(COUNTA(B270:AA270)&lt;21,"x","")</f>
        <v/>
      </c>
    </row>
    <row r="271" spans="1:36" s="296" customFormat="1" ht="17.25" customHeight="1" x14ac:dyDescent="0.2">
      <c r="A271" s="727"/>
      <c r="B271" s="297" t="s">
        <v>95</v>
      </c>
      <c r="C271" s="298">
        <v>980</v>
      </c>
      <c r="D271" s="299">
        <v>0</v>
      </c>
      <c r="E271" s="299">
        <v>0</v>
      </c>
      <c r="F271" s="300">
        <v>0</v>
      </c>
      <c r="G271" s="301">
        <v>0</v>
      </c>
      <c r="H271" s="302">
        <v>0</v>
      </c>
      <c r="I271" s="303" t="str">
        <f>IF((F271-H271)/6.25&lt;0,ROUND((F271-H271)/6.25,0),"+"&amp;ROUND(((F271-H271)/6.25),0))</f>
        <v>+0</v>
      </c>
      <c r="J271" s="302"/>
      <c r="K271" s="302">
        <v>0</v>
      </c>
      <c r="L271" s="302">
        <v>0</v>
      </c>
      <c r="M271" s="302">
        <f t="shared" si="49"/>
        <v>8</v>
      </c>
      <c r="N271" s="302">
        <v>0</v>
      </c>
      <c r="O271" s="336">
        <v>0</v>
      </c>
      <c r="P271" s="302">
        <v>0</v>
      </c>
      <c r="Q271" s="302">
        <f t="shared" si="46"/>
        <v>0</v>
      </c>
      <c r="R271" s="302">
        <v>2</v>
      </c>
      <c r="S271" s="302">
        <v>5</v>
      </c>
      <c r="T271" s="302"/>
      <c r="U271" s="302">
        <v>990</v>
      </c>
      <c r="V271" s="299">
        <f>140/0.98</f>
        <v>142.85714285714286</v>
      </c>
      <c r="W271" s="299">
        <f>70/0.98</f>
        <v>71.428571428571431</v>
      </c>
      <c r="X271" s="299">
        <f>106/0.98</f>
        <v>108.16326530612245</v>
      </c>
      <c r="Y271" s="299">
        <f>32/0.98</f>
        <v>32.653061224489797</v>
      </c>
      <c r="Z271" s="304">
        <v>5</v>
      </c>
      <c r="AA271" s="293" t="s">
        <v>309</v>
      </c>
      <c r="AB271" s="310" t="s">
        <v>309</v>
      </c>
      <c r="AC271" s="294"/>
      <c r="AD271" s="295" t="str">
        <f>IF(COUNTA(B271:AA271)&lt;21,"x","")</f>
        <v/>
      </c>
    </row>
    <row r="272" spans="1:36" s="296" customFormat="1" ht="17.25" customHeight="1" x14ac:dyDescent="0.2">
      <c r="A272" s="727"/>
      <c r="B272" s="297" t="s">
        <v>512</v>
      </c>
      <c r="C272" s="298">
        <v>980</v>
      </c>
      <c r="D272" s="299">
        <v>0</v>
      </c>
      <c r="E272" s="299">
        <v>0</v>
      </c>
      <c r="F272" s="300">
        <v>0</v>
      </c>
      <c r="G272" s="301">
        <v>0</v>
      </c>
      <c r="H272" s="302">
        <v>0</v>
      </c>
      <c r="I272" s="303" t="str">
        <f>IF((F272-H272)/6.25&lt;0,ROUND((F272-H272)/6.25,0),"+"&amp;ROUND(((F272-H272)/6.25),0))</f>
        <v>+0</v>
      </c>
      <c r="J272" s="302"/>
      <c r="K272" s="302">
        <v>0</v>
      </c>
      <c r="L272" s="302">
        <v>0</v>
      </c>
      <c r="M272" s="302">
        <f t="shared" si="49"/>
        <v>8</v>
      </c>
      <c r="N272" s="302">
        <v>0</v>
      </c>
      <c r="O272" s="336">
        <v>0</v>
      </c>
      <c r="P272" s="302">
        <v>0</v>
      </c>
      <c r="Q272" s="302">
        <f t="shared" si="46"/>
        <v>0</v>
      </c>
      <c r="R272" s="302">
        <v>2</v>
      </c>
      <c r="S272" s="302">
        <v>5</v>
      </c>
      <c r="T272" s="302"/>
      <c r="U272" s="302">
        <v>990</v>
      </c>
      <c r="V272" s="299">
        <f>200/0.98</f>
        <v>204.08163265306123</v>
      </c>
      <c r="W272" s="299">
        <v>0</v>
      </c>
      <c r="X272" s="299">
        <f>90/0.98</f>
        <v>91.83673469387756</v>
      </c>
      <c r="Y272" s="299">
        <f>60/0.98</f>
        <v>61.224489795918366</v>
      </c>
      <c r="Z272" s="304">
        <v>5</v>
      </c>
      <c r="AA272" s="293"/>
      <c r="AB272" s="310"/>
      <c r="AC272" s="294"/>
      <c r="AD272" s="295"/>
    </row>
    <row r="273" spans="1:36" s="296" customFormat="1" ht="17.25" customHeight="1" x14ac:dyDescent="0.2">
      <c r="A273" s="727"/>
      <c r="B273" s="297" t="s">
        <v>96</v>
      </c>
      <c r="C273" s="298">
        <v>980</v>
      </c>
      <c r="D273" s="299">
        <v>0</v>
      </c>
      <c r="E273" s="299">
        <v>0</v>
      </c>
      <c r="F273" s="300">
        <v>0</v>
      </c>
      <c r="G273" s="301">
        <v>0</v>
      </c>
      <c r="H273" s="302">
        <v>0</v>
      </c>
      <c r="I273" s="303" t="str">
        <f t="shared" si="48"/>
        <v>+0</v>
      </c>
      <c r="J273" s="302"/>
      <c r="K273" s="302">
        <v>0</v>
      </c>
      <c r="L273" s="302">
        <v>0</v>
      </c>
      <c r="M273" s="302">
        <f t="shared" si="49"/>
        <v>8</v>
      </c>
      <c r="N273" s="302">
        <v>0</v>
      </c>
      <c r="O273" s="336">
        <v>0</v>
      </c>
      <c r="P273" s="302">
        <v>0</v>
      </c>
      <c r="Q273" s="302">
        <f t="shared" si="46"/>
        <v>0</v>
      </c>
      <c r="R273" s="302">
        <v>2</v>
      </c>
      <c r="S273" s="302">
        <v>5</v>
      </c>
      <c r="T273" s="302"/>
      <c r="U273" s="302">
        <v>990</v>
      </c>
      <c r="V273" s="299">
        <f>220/0.98</f>
        <v>224.48979591836735</v>
      </c>
      <c r="W273" s="299">
        <f>70/0.98</f>
        <v>71.428571428571431</v>
      </c>
      <c r="X273" s="299">
        <f>53/0.98</f>
        <v>54.081632653061227</v>
      </c>
      <c r="Y273" s="299">
        <f>11/0.98</f>
        <v>11.224489795918368</v>
      </c>
      <c r="Z273" s="304">
        <v>5</v>
      </c>
      <c r="AA273" s="293" t="s">
        <v>309</v>
      </c>
      <c r="AB273" s="310" t="s">
        <v>309</v>
      </c>
      <c r="AC273" s="294"/>
      <c r="AD273" s="295" t="str">
        <f>IF(COUNTA(B273:AA273)&lt;21,"x","")</f>
        <v/>
      </c>
    </row>
    <row r="274" spans="1:36" s="296" customFormat="1" ht="17.25" customHeight="1" x14ac:dyDescent="0.2">
      <c r="A274" s="727"/>
      <c r="B274" s="297" t="s">
        <v>195</v>
      </c>
      <c r="C274" s="298">
        <v>980</v>
      </c>
      <c r="D274" s="299">
        <v>0</v>
      </c>
      <c r="E274" s="299">
        <v>0</v>
      </c>
      <c r="F274" s="300">
        <v>0</v>
      </c>
      <c r="G274" s="301">
        <v>0</v>
      </c>
      <c r="H274" s="302">
        <v>0</v>
      </c>
      <c r="I274" s="303" t="str">
        <f>IF((F274-H274)/6.25&lt;0,ROUND((F274-H274)/6.25,0),"+"&amp;ROUND(((F274-H274)/6.25),0))</f>
        <v>+0</v>
      </c>
      <c r="J274" s="302"/>
      <c r="K274" s="302">
        <v>0</v>
      </c>
      <c r="L274" s="302">
        <v>0</v>
      </c>
      <c r="M274" s="302">
        <f t="shared" si="49"/>
        <v>8</v>
      </c>
      <c r="N274" s="302">
        <v>0</v>
      </c>
      <c r="O274" s="336">
        <v>0</v>
      </c>
      <c r="P274" s="302">
        <v>0</v>
      </c>
      <c r="Q274" s="302">
        <f t="shared" si="46"/>
        <v>0</v>
      </c>
      <c r="R274" s="302">
        <v>2</v>
      </c>
      <c r="S274" s="302">
        <v>5</v>
      </c>
      <c r="T274" s="302"/>
      <c r="U274" s="302">
        <v>990</v>
      </c>
      <c r="V274" s="299">
        <f>250/0.98</f>
        <v>255.10204081632654</v>
      </c>
      <c r="W274" s="299">
        <f>0/0.98</f>
        <v>0</v>
      </c>
      <c r="X274" s="299">
        <f>90/0.98</f>
        <v>91.83673469387756</v>
      </c>
      <c r="Y274" s="299">
        <f>65/0.98</f>
        <v>66.326530612244895</v>
      </c>
      <c r="Z274" s="304">
        <v>5</v>
      </c>
      <c r="AA274" s="293" t="s">
        <v>309</v>
      </c>
      <c r="AB274" s="310" t="s">
        <v>309</v>
      </c>
      <c r="AC274" s="294"/>
      <c r="AD274" s="295"/>
    </row>
    <row r="275" spans="1:36" s="296" customFormat="1" ht="17.25" customHeight="1" x14ac:dyDescent="0.2">
      <c r="A275" s="727"/>
      <c r="B275" s="297" t="s">
        <v>159</v>
      </c>
      <c r="C275" s="298">
        <v>999</v>
      </c>
      <c r="D275" s="299">
        <v>0</v>
      </c>
      <c r="E275" s="299">
        <v>0</v>
      </c>
      <c r="F275" s="300">
        <v>0</v>
      </c>
      <c r="G275" s="301">
        <v>0</v>
      </c>
      <c r="H275" s="302">
        <f>ROUND((11.93-(6.82*G275))*E275+1.03*G275*F275,0)</f>
        <v>0</v>
      </c>
      <c r="I275" s="303" t="str">
        <f t="shared" si="48"/>
        <v>+0</v>
      </c>
      <c r="J275" s="302"/>
      <c r="K275" s="302">
        <v>0</v>
      </c>
      <c r="L275" s="302">
        <v>0</v>
      </c>
      <c r="M275" s="302">
        <f t="shared" si="49"/>
        <v>0</v>
      </c>
      <c r="N275" s="302">
        <v>0</v>
      </c>
      <c r="O275" s="336">
        <v>0</v>
      </c>
      <c r="P275" s="302">
        <v>0</v>
      </c>
      <c r="Q275" s="302">
        <f t="shared" si="46"/>
        <v>0</v>
      </c>
      <c r="R275" s="302">
        <v>0</v>
      </c>
      <c r="S275" s="302">
        <v>5</v>
      </c>
      <c r="T275" s="302"/>
      <c r="U275" s="302">
        <v>1000</v>
      </c>
      <c r="V275" s="299">
        <v>0</v>
      </c>
      <c r="W275" s="299">
        <v>0</v>
      </c>
      <c r="X275" s="299">
        <v>270</v>
      </c>
      <c r="Y275" s="299">
        <v>0</v>
      </c>
      <c r="Z275" s="304">
        <v>0</v>
      </c>
      <c r="AA275" s="293" t="s">
        <v>309</v>
      </c>
      <c r="AB275" s="310" t="s">
        <v>309</v>
      </c>
      <c r="AC275" s="294"/>
      <c r="AD275" s="295" t="str">
        <f>IF(COUNTA(B275:AA275)&lt;21,"x","")</f>
        <v/>
      </c>
    </row>
    <row r="276" spans="1:36" s="296" customFormat="1" ht="17.25" customHeight="1" x14ac:dyDescent="0.2">
      <c r="A276" s="727"/>
      <c r="B276" s="297" t="s">
        <v>158</v>
      </c>
      <c r="C276" s="298">
        <v>990</v>
      </c>
      <c r="D276" s="299">
        <v>9.8000000000000007</v>
      </c>
      <c r="E276" s="299">
        <v>14.7</v>
      </c>
      <c r="F276" s="300">
        <v>0</v>
      </c>
      <c r="G276" s="301">
        <v>0</v>
      </c>
      <c r="H276" s="302">
        <f>ROUND((11.93-(6.82*G276))*E276+1.03*G276*F276,0)</f>
        <v>175</v>
      </c>
      <c r="I276" s="303">
        <f t="shared" si="48"/>
        <v>-28</v>
      </c>
      <c r="J276" s="302"/>
      <c r="K276" s="302">
        <v>0</v>
      </c>
      <c r="L276" s="302">
        <v>0</v>
      </c>
      <c r="M276" s="302">
        <v>0</v>
      </c>
      <c r="N276" s="302">
        <v>0</v>
      </c>
      <c r="O276" s="336">
        <v>0</v>
      </c>
      <c r="P276" s="302">
        <v>0</v>
      </c>
      <c r="Q276" s="302">
        <f t="shared" si="46"/>
        <v>0</v>
      </c>
      <c r="R276" s="302">
        <v>0</v>
      </c>
      <c r="S276" s="302">
        <v>0</v>
      </c>
      <c r="T276" s="302"/>
      <c r="U276" s="302">
        <v>0</v>
      </c>
      <c r="V276" s="299">
        <v>0</v>
      </c>
      <c r="W276" s="299">
        <v>0</v>
      </c>
      <c r="X276" s="299">
        <v>0</v>
      </c>
      <c r="Y276" s="299">
        <v>0</v>
      </c>
      <c r="Z276" s="304">
        <v>0</v>
      </c>
      <c r="AA276" s="293" t="s">
        <v>309</v>
      </c>
      <c r="AB276" s="310" t="s">
        <v>309</v>
      </c>
      <c r="AC276" s="294"/>
      <c r="AD276" s="295" t="str">
        <f>IF(COUNTA(B276:AA276)&lt;21,"x","")</f>
        <v/>
      </c>
    </row>
    <row r="277" spans="1:36" s="296" customFormat="1" ht="17.25" customHeight="1" x14ac:dyDescent="0.2">
      <c r="A277" s="727"/>
      <c r="B277" s="297" t="s">
        <v>191</v>
      </c>
      <c r="C277" s="298">
        <v>998</v>
      </c>
      <c r="D277" s="299">
        <v>10.5</v>
      </c>
      <c r="E277" s="299">
        <v>15.9</v>
      </c>
      <c r="F277" s="300">
        <v>0</v>
      </c>
      <c r="G277" s="301">
        <v>1</v>
      </c>
      <c r="H277" s="302">
        <f>ROUND((11.93-(6.82*G277))*E277+1.03*G277*F277,0)</f>
        <v>81</v>
      </c>
      <c r="I277" s="303">
        <f>IF((F277-H277)/6.25&lt;0,ROUND((F277-H277)/6.25,0),"+"&amp;ROUND(((F277-H277)/6.25),0))</f>
        <v>-13</v>
      </c>
      <c r="J277" s="302"/>
      <c r="K277" s="302">
        <v>0</v>
      </c>
      <c r="L277" s="302">
        <v>0</v>
      </c>
      <c r="M277" s="302">
        <v>0</v>
      </c>
      <c r="N277" s="302">
        <v>0</v>
      </c>
      <c r="O277" s="336">
        <v>0</v>
      </c>
      <c r="P277" s="302">
        <v>855</v>
      </c>
      <c r="Q277" s="302">
        <f t="shared" si="46"/>
        <v>855</v>
      </c>
      <c r="R277" s="302">
        <v>94</v>
      </c>
      <c r="S277" s="302">
        <v>0</v>
      </c>
      <c r="T277" s="302"/>
      <c r="U277" s="302">
        <v>50</v>
      </c>
      <c r="V277" s="299">
        <v>0</v>
      </c>
      <c r="W277" s="299">
        <v>0</v>
      </c>
      <c r="X277" s="299">
        <v>18</v>
      </c>
      <c r="Y277" s="299">
        <v>0</v>
      </c>
      <c r="Z277" s="304">
        <v>0</v>
      </c>
      <c r="AA277" s="293" t="s">
        <v>309</v>
      </c>
      <c r="AB277" s="310" t="s">
        <v>309</v>
      </c>
      <c r="AC277" s="294"/>
      <c r="AD277" s="295"/>
    </row>
    <row r="278" spans="1:36" s="296" customFormat="1" ht="17.25" customHeight="1" x14ac:dyDescent="0.2">
      <c r="A278" s="727"/>
      <c r="B278" s="297" t="s">
        <v>157</v>
      </c>
      <c r="C278" s="298">
        <v>880</v>
      </c>
      <c r="D278" s="299">
        <v>8.4</v>
      </c>
      <c r="E278" s="299">
        <v>13.1</v>
      </c>
      <c r="F278" s="300">
        <v>0</v>
      </c>
      <c r="G278" s="301">
        <v>1</v>
      </c>
      <c r="H278" s="302">
        <f>ROUND((11.93-(6.82*G278))*E278+1.03*G278*F278,0)</f>
        <v>67</v>
      </c>
      <c r="I278" s="303">
        <f t="shared" si="48"/>
        <v>-11</v>
      </c>
      <c r="J278" s="302"/>
      <c r="K278" s="302">
        <v>0</v>
      </c>
      <c r="L278" s="302">
        <v>0</v>
      </c>
      <c r="M278" s="302">
        <v>0</v>
      </c>
      <c r="N278" s="302">
        <v>0</v>
      </c>
      <c r="O278" s="336">
        <v>0</v>
      </c>
      <c r="P278" s="302">
        <v>855</v>
      </c>
      <c r="Q278" s="302">
        <f t="shared" si="46"/>
        <v>855</v>
      </c>
      <c r="R278" s="302">
        <v>95</v>
      </c>
      <c r="S278" s="302">
        <v>0</v>
      </c>
      <c r="T278" s="302"/>
      <c r="U278" s="302">
        <v>50</v>
      </c>
      <c r="V278" s="299">
        <v>0</v>
      </c>
      <c r="W278" s="299">
        <v>0</v>
      </c>
      <c r="X278" s="299">
        <v>18</v>
      </c>
      <c r="Y278" s="299">
        <v>0</v>
      </c>
      <c r="Z278" s="304">
        <v>0</v>
      </c>
      <c r="AA278" s="293" t="s">
        <v>309</v>
      </c>
      <c r="AB278" s="310" t="s">
        <v>309</v>
      </c>
      <c r="AC278" s="294"/>
      <c r="AD278" s="295" t="str">
        <f>IF(COUNTA(B278:AA278)&lt;21,"x","")</f>
        <v/>
      </c>
    </row>
    <row r="279" spans="1:36" s="296" customFormat="1" ht="17.25" customHeight="1" x14ac:dyDescent="0.2">
      <c r="A279" s="727"/>
      <c r="B279" s="297" t="s">
        <v>98</v>
      </c>
      <c r="C279" s="298">
        <v>940</v>
      </c>
      <c r="D279" s="299">
        <v>0</v>
      </c>
      <c r="E279" s="299">
        <v>0</v>
      </c>
      <c r="F279" s="300">
        <v>0</v>
      </c>
      <c r="G279" s="301">
        <v>0</v>
      </c>
      <c r="H279" s="302">
        <v>0</v>
      </c>
      <c r="I279" s="303" t="str">
        <f>IF((F279-H279)/6.25&lt;0,ROUND((F279-H279)/6.25,0),"+"&amp;ROUND(((F279-H279)/6.25),0))</f>
        <v>+0</v>
      </c>
      <c r="J279" s="302"/>
      <c r="K279" s="302">
        <v>0</v>
      </c>
      <c r="L279" s="302">
        <v>0</v>
      </c>
      <c r="M279" s="302">
        <f>IF(AND(U279&lt;&gt;"",F279&lt;&gt;"",L279&lt;&gt;"",R279&lt;&gt;""),1000-F279-L279-R279-U279,"Fehler")</f>
        <v>0</v>
      </c>
      <c r="N279" s="302">
        <v>0</v>
      </c>
      <c r="O279" s="336">
        <v>0</v>
      </c>
      <c r="P279" s="302">
        <v>0</v>
      </c>
      <c r="Q279" s="302">
        <f>N279*(100-O279)/100+P279</f>
        <v>0</v>
      </c>
      <c r="R279" s="302">
        <v>0</v>
      </c>
      <c r="S279" s="302">
        <v>0</v>
      </c>
      <c r="T279" s="302"/>
      <c r="U279" s="302">
        <v>1000</v>
      </c>
      <c r="V279" s="299">
        <v>0</v>
      </c>
      <c r="W279" s="299">
        <v>0</v>
      </c>
      <c r="X279" s="299">
        <v>354</v>
      </c>
      <c r="Y279" s="299">
        <v>0</v>
      </c>
      <c r="Z279" s="304">
        <v>32</v>
      </c>
      <c r="AA279" s="293" t="s">
        <v>309</v>
      </c>
      <c r="AB279" s="293">
        <v>0</v>
      </c>
      <c r="AC279" s="294"/>
      <c r="AD279" s="295" t="str">
        <f>IF(COUNTA(B279:AA279)&lt;21,"x","")</f>
        <v/>
      </c>
    </row>
    <row r="280" spans="1:36" s="72" customFormat="1" ht="17.25" customHeight="1" x14ac:dyDescent="0.2">
      <c r="A280" s="704" t="s">
        <v>548</v>
      </c>
      <c r="B280" s="263"/>
      <c r="C280" s="264">
        <v>0</v>
      </c>
      <c r="D280" s="265"/>
      <c r="E280" s="265"/>
      <c r="F280" s="266"/>
      <c r="G280" s="265"/>
      <c r="H280" s="265"/>
      <c r="I280" s="265"/>
      <c r="J280" s="265"/>
      <c r="K280" s="265"/>
      <c r="L280" s="265"/>
      <c r="M280" s="265"/>
      <c r="N280" s="265"/>
      <c r="O280" s="265"/>
      <c r="P280" s="265"/>
      <c r="Q280" s="265"/>
      <c r="R280" s="265"/>
      <c r="S280" s="265"/>
      <c r="T280" s="265"/>
      <c r="U280" s="265"/>
      <c r="V280" s="265"/>
      <c r="W280" s="267"/>
      <c r="X280" s="267"/>
      <c r="Y280" s="267"/>
      <c r="Z280" s="268"/>
      <c r="AA280" s="268"/>
      <c r="AB280" s="264"/>
      <c r="AC280" s="270"/>
      <c r="AD280" s="73"/>
      <c r="AE280" s="73"/>
      <c r="AF280" s="73"/>
      <c r="AG280" s="73"/>
      <c r="AH280" s="73"/>
      <c r="AI280" s="73"/>
      <c r="AJ280" s="73"/>
    </row>
    <row r="281" spans="1:36" s="72" customFormat="1" ht="17.25" customHeight="1" x14ac:dyDescent="0.2">
      <c r="A281" s="712"/>
      <c r="B281" s="91"/>
      <c r="C281" s="331">
        <v>0</v>
      </c>
      <c r="D281" s="85"/>
      <c r="E281" s="85"/>
      <c r="F281" s="327"/>
      <c r="G281" s="328"/>
      <c r="H281" s="87"/>
      <c r="I281" s="332"/>
      <c r="J281" s="85"/>
      <c r="K281" s="87"/>
      <c r="L281" s="87"/>
      <c r="M281" s="87"/>
      <c r="N281" s="87"/>
      <c r="O281" s="338"/>
      <c r="P281" s="87"/>
      <c r="Q281" s="329">
        <f t="shared" ref="Q281:Q288" si="50">N281*(100-O281)/100+P281</f>
        <v>0</v>
      </c>
      <c r="R281" s="87"/>
      <c r="S281" s="87"/>
      <c r="T281" s="92"/>
      <c r="U281" s="87"/>
      <c r="V281" s="85"/>
      <c r="W281" s="85"/>
      <c r="X281" s="85"/>
      <c r="Y281" s="85"/>
      <c r="Z281" s="87"/>
      <c r="AA281" s="331"/>
      <c r="AB281" s="331"/>
      <c r="AC281" s="271"/>
      <c r="AD281" s="78"/>
      <c r="AE281" s="78"/>
      <c r="AF281" s="78"/>
      <c r="AG281" s="78"/>
      <c r="AH281" s="78"/>
      <c r="AI281" s="78"/>
      <c r="AJ281" s="78"/>
    </row>
    <row r="282" spans="1:36" s="72" customFormat="1" ht="17.25" customHeight="1" x14ac:dyDescent="0.2">
      <c r="A282" s="712"/>
      <c r="B282" s="91"/>
      <c r="C282" s="331">
        <v>0</v>
      </c>
      <c r="D282" s="85"/>
      <c r="E282" s="85"/>
      <c r="F282" s="327"/>
      <c r="G282" s="328"/>
      <c r="H282" s="87"/>
      <c r="I282" s="332"/>
      <c r="J282" s="85"/>
      <c r="K282" s="87"/>
      <c r="L282" s="87"/>
      <c r="M282" s="87"/>
      <c r="N282" s="87"/>
      <c r="O282" s="338"/>
      <c r="P282" s="87"/>
      <c r="Q282" s="329">
        <f t="shared" si="50"/>
        <v>0</v>
      </c>
      <c r="R282" s="87"/>
      <c r="S282" s="87"/>
      <c r="T282" s="92"/>
      <c r="U282" s="87"/>
      <c r="V282" s="85"/>
      <c r="W282" s="85"/>
      <c r="X282" s="85"/>
      <c r="Y282" s="85"/>
      <c r="Z282" s="87"/>
      <c r="AA282" s="331"/>
      <c r="AB282" s="331"/>
      <c r="AC282" s="271"/>
      <c r="AD282" s="78"/>
      <c r="AE282" s="78"/>
      <c r="AF282" s="78"/>
      <c r="AG282" s="78"/>
      <c r="AH282" s="78"/>
      <c r="AI282" s="78"/>
      <c r="AJ282" s="78"/>
    </row>
    <row r="283" spans="1:36" s="72" customFormat="1" ht="17.25" customHeight="1" x14ac:dyDescent="0.2">
      <c r="A283" s="712"/>
      <c r="B283" s="91"/>
      <c r="C283" s="331">
        <v>0</v>
      </c>
      <c r="D283" s="85"/>
      <c r="E283" s="85"/>
      <c r="F283" s="327"/>
      <c r="G283" s="328"/>
      <c r="H283" s="87"/>
      <c r="I283" s="332"/>
      <c r="J283" s="85"/>
      <c r="K283" s="87"/>
      <c r="L283" s="87"/>
      <c r="M283" s="87"/>
      <c r="N283" s="87"/>
      <c r="O283" s="338"/>
      <c r="P283" s="87"/>
      <c r="Q283" s="329">
        <f t="shared" si="50"/>
        <v>0</v>
      </c>
      <c r="R283" s="87"/>
      <c r="S283" s="87"/>
      <c r="T283" s="92"/>
      <c r="U283" s="87"/>
      <c r="V283" s="85"/>
      <c r="W283" s="85"/>
      <c r="X283" s="85"/>
      <c r="Y283" s="85"/>
      <c r="Z283" s="87"/>
      <c r="AA283" s="331"/>
      <c r="AB283" s="331"/>
      <c r="AC283" s="271"/>
      <c r="AD283" s="78"/>
      <c r="AE283" s="78"/>
      <c r="AF283" s="78"/>
      <c r="AG283" s="78"/>
      <c r="AH283" s="78"/>
      <c r="AI283" s="78"/>
      <c r="AJ283" s="78"/>
    </row>
    <row r="284" spans="1:36" s="72" customFormat="1" ht="17.25" customHeight="1" x14ac:dyDescent="0.2">
      <c r="A284" s="712"/>
      <c r="B284" s="91"/>
      <c r="C284" s="331">
        <v>0</v>
      </c>
      <c r="D284" s="85"/>
      <c r="E284" s="85"/>
      <c r="F284" s="327"/>
      <c r="G284" s="328"/>
      <c r="H284" s="87"/>
      <c r="I284" s="332"/>
      <c r="J284" s="85"/>
      <c r="K284" s="87"/>
      <c r="L284" s="87"/>
      <c r="M284" s="87"/>
      <c r="N284" s="87"/>
      <c r="O284" s="338"/>
      <c r="P284" s="87"/>
      <c r="Q284" s="329">
        <f t="shared" si="50"/>
        <v>0</v>
      </c>
      <c r="R284" s="87"/>
      <c r="S284" s="87"/>
      <c r="T284" s="92"/>
      <c r="U284" s="87"/>
      <c r="V284" s="85"/>
      <c r="W284" s="85"/>
      <c r="X284" s="85"/>
      <c r="Y284" s="85"/>
      <c r="Z284" s="87"/>
      <c r="AA284" s="331"/>
      <c r="AB284" s="331"/>
      <c r="AC284" s="271"/>
      <c r="AD284" s="78"/>
      <c r="AE284" s="78"/>
      <c r="AF284" s="78"/>
      <c r="AG284" s="78"/>
      <c r="AH284" s="78"/>
      <c r="AI284" s="78"/>
      <c r="AJ284" s="78"/>
    </row>
    <row r="285" spans="1:36" s="72" customFormat="1" ht="17.25" customHeight="1" x14ac:dyDescent="0.2">
      <c r="A285" s="712"/>
      <c r="B285" s="91"/>
      <c r="C285" s="331">
        <v>0</v>
      </c>
      <c r="D285" s="85"/>
      <c r="E285" s="85"/>
      <c r="F285" s="327"/>
      <c r="G285" s="328"/>
      <c r="H285" s="87"/>
      <c r="I285" s="332"/>
      <c r="J285" s="85"/>
      <c r="K285" s="87"/>
      <c r="L285" s="87"/>
      <c r="M285" s="87"/>
      <c r="N285" s="87"/>
      <c r="O285" s="338"/>
      <c r="P285" s="87"/>
      <c r="Q285" s="329">
        <f t="shared" si="50"/>
        <v>0</v>
      </c>
      <c r="R285" s="87"/>
      <c r="S285" s="87"/>
      <c r="T285" s="92"/>
      <c r="U285" s="87"/>
      <c r="V285" s="85"/>
      <c r="W285" s="85"/>
      <c r="X285" s="85"/>
      <c r="Y285" s="85"/>
      <c r="Z285" s="87"/>
      <c r="AA285" s="331"/>
      <c r="AB285" s="331"/>
      <c r="AC285" s="271"/>
      <c r="AD285" s="78"/>
      <c r="AE285" s="78"/>
      <c r="AF285" s="78"/>
      <c r="AG285" s="78"/>
      <c r="AH285" s="78"/>
      <c r="AI285" s="78"/>
      <c r="AJ285" s="78"/>
    </row>
    <row r="286" spans="1:36" s="72" customFormat="1" ht="17.25" customHeight="1" x14ac:dyDescent="0.2">
      <c r="A286" s="712"/>
      <c r="B286" s="79"/>
      <c r="C286" s="331">
        <v>0</v>
      </c>
      <c r="D286" s="85"/>
      <c r="E286" s="85"/>
      <c r="F286" s="327"/>
      <c r="G286" s="92"/>
      <c r="H286" s="87"/>
      <c r="I286" s="85"/>
      <c r="J286" s="85"/>
      <c r="K286" s="87"/>
      <c r="L286" s="87"/>
      <c r="M286" s="87"/>
      <c r="N286" s="87"/>
      <c r="O286" s="338"/>
      <c r="P286" s="87"/>
      <c r="Q286" s="329">
        <f t="shared" si="50"/>
        <v>0</v>
      </c>
      <c r="R286" s="87"/>
      <c r="S286" s="87"/>
      <c r="T286" s="92"/>
      <c r="U286" s="87"/>
      <c r="V286" s="85"/>
      <c r="W286" s="85"/>
      <c r="X286" s="85"/>
      <c r="Y286" s="85"/>
      <c r="Z286" s="87"/>
      <c r="AA286" s="331"/>
      <c r="AB286" s="331"/>
      <c r="AC286" s="271"/>
      <c r="AD286" s="78"/>
      <c r="AE286" s="78"/>
      <c r="AF286" s="78"/>
      <c r="AG286" s="78"/>
      <c r="AH286" s="78"/>
      <c r="AI286" s="78"/>
      <c r="AJ286" s="78"/>
    </row>
    <row r="287" spans="1:36" s="72" customFormat="1" ht="17.25" customHeight="1" x14ac:dyDescent="0.2">
      <c r="A287" s="712"/>
      <c r="B287" s="91"/>
      <c r="C287" s="331">
        <v>0</v>
      </c>
      <c r="D287" s="85"/>
      <c r="E287" s="85"/>
      <c r="F287" s="327"/>
      <c r="G287" s="328"/>
      <c r="H287" s="87"/>
      <c r="I287" s="332"/>
      <c r="J287" s="85"/>
      <c r="K287" s="87"/>
      <c r="L287" s="87"/>
      <c r="M287" s="87"/>
      <c r="N287" s="87"/>
      <c r="O287" s="338"/>
      <c r="P287" s="87"/>
      <c r="Q287" s="329">
        <f t="shared" si="50"/>
        <v>0</v>
      </c>
      <c r="R287" s="87"/>
      <c r="S287" s="87"/>
      <c r="T287" s="92"/>
      <c r="U287" s="87"/>
      <c r="V287" s="85"/>
      <c r="W287" s="85"/>
      <c r="X287" s="85"/>
      <c r="Y287" s="85"/>
      <c r="Z287" s="87"/>
      <c r="AA287" s="331"/>
      <c r="AB287" s="331"/>
      <c r="AC287" s="271"/>
      <c r="AD287" s="78"/>
      <c r="AE287" s="78"/>
      <c r="AF287" s="78"/>
      <c r="AG287" s="78"/>
      <c r="AH287" s="78"/>
      <c r="AI287" s="78"/>
      <c r="AJ287" s="78"/>
    </row>
    <row r="288" spans="1:36" s="72" customFormat="1" ht="17.25" customHeight="1" x14ac:dyDescent="0.2">
      <c r="A288" s="712"/>
      <c r="B288" s="91"/>
      <c r="C288" s="331">
        <v>0</v>
      </c>
      <c r="D288" s="85"/>
      <c r="E288" s="85"/>
      <c r="F288" s="327"/>
      <c r="G288" s="328"/>
      <c r="H288" s="87"/>
      <c r="I288" s="332"/>
      <c r="J288" s="85"/>
      <c r="K288" s="87"/>
      <c r="L288" s="87"/>
      <c r="M288" s="87"/>
      <c r="N288" s="342"/>
      <c r="O288" s="338"/>
      <c r="P288" s="342"/>
      <c r="Q288" s="329">
        <f t="shared" si="50"/>
        <v>0</v>
      </c>
      <c r="R288" s="342"/>
      <c r="S288" s="342"/>
      <c r="T288" s="92"/>
      <c r="U288" s="342"/>
      <c r="V288" s="85"/>
      <c r="W288" s="85"/>
      <c r="X288" s="345"/>
      <c r="Y288" s="85"/>
      <c r="Z288" s="87"/>
      <c r="AA288" s="331"/>
      <c r="AB288" s="343"/>
      <c r="AC288" s="271"/>
      <c r="AD288" s="78"/>
      <c r="AE288" s="78"/>
      <c r="AF288" s="78"/>
      <c r="AG288" s="78"/>
      <c r="AH288" s="78"/>
      <c r="AI288" s="78"/>
      <c r="AJ288" s="78"/>
    </row>
    <row r="289" spans="1:38" s="65" customFormat="1" ht="5.25" customHeight="1" x14ac:dyDescent="0.2">
      <c r="A289" s="790"/>
      <c r="B289" s="791"/>
      <c r="C289" s="792">
        <v>1E-3</v>
      </c>
      <c r="D289" s="792">
        <v>0</v>
      </c>
      <c r="E289" s="792">
        <v>0</v>
      </c>
      <c r="F289" s="792">
        <v>0</v>
      </c>
      <c r="G289" s="792">
        <v>0</v>
      </c>
      <c r="H289" s="792">
        <v>0</v>
      </c>
      <c r="I289" s="792">
        <v>0</v>
      </c>
      <c r="J289" s="792">
        <v>0</v>
      </c>
      <c r="K289" s="792">
        <v>0</v>
      </c>
      <c r="L289" s="792">
        <v>0</v>
      </c>
      <c r="M289" s="792">
        <v>0</v>
      </c>
      <c r="N289" s="792">
        <v>0</v>
      </c>
      <c r="O289" s="793"/>
      <c r="P289" s="794"/>
      <c r="Q289" s="794"/>
      <c r="R289" s="794"/>
      <c r="S289" s="794"/>
      <c r="T289" s="794"/>
      <c r="U289" s="794"/>
      <c r="V289" s="792">
        <v>0</v>
      </c>
      <c r="W289" s="795">
        <v>0</v>
      </c>
      <c r="X289" s="795">
        <v>0</v>
      </c>
      <c r="Y289" s="795">
        <v>0</v>
      </c>
      <c r="Z289" s="796">
        <v>0</v>
      </c>
      <c r="AA289" s="792"/>
      <c r="AB289" s="792"/>
      <c r="AC289" s="792"/>
      <c r="AD289" s="11" t="str">
        <f>IF(COUNTA(B289:AA289)&lt;21,"x","")</f>
        <v>x</v>
      </c>
      <c r="AE289" s="20"/>
      <c r="AF289" s="20"/>
      <c r="AG289" s="20"/>
      <c r="AH289" s="20"/>
      <c r="AI289" s="20"/>
      <c r="AJ289" s="20"/>
      <c r="AL289" s="72"/>
    </row>
    <row r="290" spans="1:38" s="67" customFormat="1" ht="13.5" thickBot="1" x14ac:dyDescent="0.25">
      <c r="A290" s="797" t="str">
        <f>'Zuteilung-Milchleistungsfutter'!$A$50</f>
        <v xml:space="preserve">             Die Daten sind auf Plausibilität zu prüfen, um Eingabe- und Berechnungsfehler auszuschließen. Es wird keine Gewähr zur Richtigkeit der Daten übernommen.</v>
      </c>
      <c r="B290" s="798"/>
      <c r="C290" s="798"/>
      <c r="D290" s="798"/>
      <c r="E290" s="798"/>
      <c r="F290" s="798"/>
      <c r="G290" s="798"/>
      <c r="H290" s="798"/>
      <c r="I290" s="798"/>
      <c r="J290" s="798"/>
      <c r="K290" s="798"/>
      <c r="L290" s="798"/>
      <c r="M290" s="798"/>
      <c r="N290" s="799"/>
      <c r="O290" s="799"/>
      <c r="P290" s="799"/>
      <c r="Q290" s="799"/>
      <c r="R290" s="798"/>
      <c r="S290" s="798"/>
      <c r="T290" s="798"/>
      <c r="U290" s="798"/>
      <c r="V290" s="798"/>
      <c r="W290" s="798"/>
      <c r="X290" s="798"/>
      <c r="Y290" s="798"/>
      <c r="Z290" s="798"/>
      <c r="AA290" s="798"/>
      <c r="AB290" s="798"/>
      <c r="AC290" s="800"/>
      <c r="AD290" s="10"/>
      <c r="AE290" s="10"/>
      <c r="AF290" s="10"/>
      <c r="AG290" s="10"/>
      <c r="AH290" s="10"/>
      <c r="AI290" s="10"/>
      <c r="AJ290" s="10"/>
      <c r="AL290" s="72"/>
    </row>
    <row r="291" spans="1:38" s="67" customFormat="1" ht="4.5" customHeight="1" thickTop="1" x14ac:dyDescent="0.2">
      <c r="A291" s="10"/>
      <c r="B291" s="13"/>
      <c r="C291" s="14"/>
      <c r="D291" s="11"/>
      <c r="E291" s="11"/>
      <c r="F291" s="14"/>
      <c r="G291" s="14"/>
      <c r="H291" s="14"/>
      <c r="I291" s="15"/>
      <c r="J291" s="14"/>
      <c r="K291" s="17"/>
      <c r="L291" s="17"/>
      <c r="M291" s="17"/>
      <c r="N291" s="17"/>
      <c r="O291" s="17"/>
      <c r="P291" s="17"/>
      <c r="Q291" s="17"/>
      <c r="R291" s="15"/>
      <c r="S291" s="14"/>
      <c r="T291" s="14"/>
      <c r="U291" s="14"/>
      <c r="V291" s="10"/>
      <c r="W291" s="10"/>
      <c r="X291" s="10"/>
      <c r="Y291" s="10"/>
      <c r="Z291" s="10"/>
      <c r="AA291" s="10"/>
      <c r="AB291" s="14"/>
      <c r="AC291" s="10"/>
      <c r="AD291" s="10"/>
      <c r="AE291" s="10"/>
      <c r="AF291" s="10"/>
      <c r="AG291" s="10"/>
      <c r="AH291" s="10"/>
      <c r="AI291" s="10"/>
      <c r="AJ291" s="10"/>
      <c r="AL291" s="72"/>
    </row>
    <row r="292" spans="1:38" s="67" customFormat="1" hidden="1" x14ac:dyDescent="0.2">
      <c r="A292" s="10"/>
      <c r="B292" s="13"/>
      <c r="C292" s="14"/>
      <c r="D292" s="11"/>
      <c r="E292" s="11"/>
      <c r="F292" s="14"/>
      <c r="G292" s="14"/>
      <c r="H292" s="14"/>
      <c r="I292" s="10"/>
      <c r="J292" s="10"/>
      <c r="K292" s="10"/>
      <c r="L292" s="10"/>
      <c r="M292" s="10"/>
      <c r="N292" s="10"/>
      <c r="O292" s="17"/>
      <c r="P292" s="17"/>
      <c r="Q292" s="17"/>
      <c r="R292" s="10"/>
      <c r="S292" s="10"/>
      <c r="T292" s="10"/>
      <c r="U292" s="10"/>
      <c r="V292" s="10"/>
      <c r="W292" s="10"/>
      <c r="X292" s="10"/>
      <c r="Y292" s="10"/>
      <c r="Z292" s="10"/>
      <c r="AA292" s="10"/>
      <c r="AB292" s="10"/>
      <c r="AC292" s="10"/>
      <c r="AD292" s="10"/>
      <c r="AE292" s="10"/>
      <c r="AF292" s="10"/>
      <c r="AG292" s="10"/>
      <c r="AH292" s="10"/>
      <c r="AI292" s="10"/>
      <c r="AJ292" s="10"/>
      <c r="AL292" s="72"/>
    </row>
    <row r="293" spans="1:38" s="67" customFormat="1" hidden="1" x14ac:dyDescent="0.2">
      <c r="A293" s="10"/>
      <c r="B293" s="13"/>
      <c r="C293" s="10"/>
      <c r="D293" s="18"/>
      <c r="E293" s="18"/>
      <c r="F293" s="10"/>
      <c r="G293" s="10"/>
      <c r="H293" s="10"/>
      <c r="I293" s="13"/>
      <c r="J293" s="10"/>
      <c r="K293" s="12"/>
      <c r="L293" s="12"/>
      <c r="M293" s="17"/>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L293" s="72"/>
    </row>
    <row r="294" spans="1:38" hidden="1" x14ac:dyDescent="0.2">
      <c r="N294" s="10"/>
      <c r="O294" s="10"/>
      <c r="P294" s="10"/>
      <c r="Q294" s="10"/>
      <c r="R294" s="10"/>
    </row>
    <row r="295" spans="1:38" hidden="1" x14ac:dyDescent="0.2">
      <c r="N295" s="10"/>
      <c r="O295" s="10"/>
      <c r="P295" s="10"/>
      <c r="Q295" s="10"/>
      <c r="R295" s="10"/>
    </row>
    <row r="296" spans="1:38" hidden="1" x14ac:dyDescent="0.2">
      <c r="N296" s="10"/>
      <c r="O296" s="10"/>
      <c r="P296" s="10"/>
      <c r="Q296" s="10"/>
      <c r="R296" s="10"/>
    </row>
    <row r="297" spans="1:38" hidden="1" x14ac:dyDescent="0.2">
      <c r="N297" s="10"/>
      <c r="O297" s="10"/>
      <c r="P297" s="10"/>
      <c r="Q297" s="10"/>
      <c r="R297" s="10"/>
    </row>
    <row r="298" spans="1:38" hidden="1" x14ac:dyDescent="0.2">
      <c r="N298" s="10"/>
      <c r="O298" s="10"/>
      <c r="P298" s="10"/>
      <c r="Q298" s="10"/>
      <c r="R298" s="10"/>
    </row>
    <row r="299" spans="1:38" hidden="1" x14ac:dyDescent="0.2">
      <c r="N299" s="10"/>
      <c r="O299" s="10"/>
      <c r="P299" s="10"/>
      <c r="Q299" s="10"/>
      <c r="R299" s="10"/>
    </row>
    <row r="300" spans="1:38" hidden="1" x14ac:dyDescent="0.2">
      <c r="N300" s="10"/>
      <c r="O300" s="10"/>
      <c r="P300" s="10"/>
      <c r="Q300" s="10"/>
      <c r="R300" s="10"/>
    </row>
    <row r="301" spans="1:38" hidden="1" x14ac:dyDescent="0.2">
      <c r="N301" s="10"/>
      <c r="O301" s="10"/>
      <c r="P301" s="10"/>
      <c r="Q301" s="10"/>
      <c r="R301" s="10"/>
    </row>
    <row r="302" spans="1:38" hidden="1" x14ac:dyDescent="0.2">
      <c r="N302" s="10"/>
      <c r="O302" s="10"/>
      <c r="P302" s="10"/>
      <c r="Q302" s="10"/>
      <c r="R302" s="10"/>
    </row>
    <row r="303" spans="1:38" hidden="1" x14ac:dyDescent="0.2">
      <c r="N303" s="10"/>
      <c r="O303" s="10"/>
      <c r="P303" s="10"/>
      <c r="Q303" s="10"/>
      <c r="R303" s="10"/>
    </row>
    <row r="304" spans="1:38" hidden="1" x14ac:dyDescent="0.2">
      <c r="N304" s="10"/>
      <c r="O304" s="10"/>
      <c r="P304" s="10"/>
      <c r="Q304" s="10"/>
      <c r="R304" s="10"/>
    </row>
    <row r="305" spans="14:18" hidden="1" x14ac:dyDescent="0.2">
      <c r="N305" s="10"/>
      <c r="O305" s="10"/>
      <c r="P305" s="10"/>
      <c r="Q305" s="10"/>
      <c r="R305" s="10"/>
    </row>
    <row r="306" spans="14:18" hidden="1" x14ac:dyDescent="0.2">
      <c r="N306" s="10"/>
      <c r="O306" s="10"/>
      <c r="P306" s="10"/>
      <c r="Q306" s="10"/>
      <c r="R306" s="10"/>
    </row>
    <row r="307" spans="14:18" hidden="1" x14ac:dyDescent="0.2">
      <c r="N307" s="10"/>
      <c r="O307" s="10"/>
      <c r="P307" s="10"/>
      <c r="Q307" s="10"/>
      <c r="R307" s="10"/>
    </row>
    <row r="308" spans="14:18" hidden="1" x14ac:dyDescent="0.2">
      <c r="N308" s="10"/>
      <c r="O308" s="10"/>
      <c r="P308" s="10"/>
      <c r="Q308" s="10"/>
      <c r="R308" s="10"/>
    </row>
    <row r="309" spans="14:18" hidden="1" x14ac:dyDescent="0.2">
      <c r="N309" s="10"/>
      <c r="O309" s="10"/>
      <c r="P309" s="10"/>
      <c r="Q309" s="10"/>
      <c r="R309" s="10"/>
    </row>
    <row r="310" spans="14:18" hidden="1" x14ac:dyDescent="0.2">
      <c r="N310" s="10"/>
      <c r="O310" s="10"/>
      <c r="P310" s="10"/>
      <c r="Q310" s="10"/>
      <c r="R310" s="10"/>
    </row>
    <row r="311" spans="14:18" hidden="1" x14ac:dyDescent="0.2">
      <c r="N311" s="10"/>
      <c r="O311" s="10"/>
      <c r="P311" s="10"/>
      <c r="Q311" s="10"/>
      <c r="R311" s="10"/>
    </row>
    <row r="312" spans="14:18" hidden="1" x14ac:dyDescent="0.2">
      <c r="N312" s="10"/>
      <c r="O312" s="10"/>
      <c r="P312" s="10"/>
      <c r="Q312" s="10"/>
      <c r="R312" s="10"/>
    </row>
    <row r="313" spans="14:18" hidden="1" x14ac:dyDescent="0.2">
      <c r="N313" s="10"/>
      <c r="O313" s="10"/>
      <c r="P313" s="10"/>
      <c r="Q313" s="10"/>
      <c r="R313" s="10"/>
    </row>
    <row r="314" spans="14:18" hidden="1" x14ac:dyDescent="0.2">
      <c r="N314" s="10"/>
      <c r="O314" s="10"/>
      <c r="P314" s="10"/>
      <c r="Q314" s="10"/>
      <c r="R314" s="10"/>
    </row>
    <row r="315" spans="14:18" hidden="1" x14ac:dyDescent="0.2">
      <c r="N315" s="10"/>
      <c r="O315" s="10"/>
      <c r="P315" s="10"/>
      <c r="Q315" s="10"/>
      <c r="R315" s="10"/>
    </row>
    <row r="316" spans="14:18" hidden="1" x14ac:dyDescent="0.2">
      <c r="N316" s="10"/>
      <c r="O316" s="10"/>
      <c r="P316" s="10"/>
      <c r="Q316" s="10"/>
      <c r="R316" s="10"/>
    </row>
    <row r="317" spans="14:18" hidden="1" x14ac:dyDescent="0.2">
      <c r="N317" s="10"/>
      <c r="O317" s="10"/>
      <c r="P317" s="10"/>
      <c r="Q317" s="10"/>
      <c r="R317" s="10"/>
    </row>
    <row r="318" spans="14:18" hidden="1" x14ac:dyDescent="0.2">
      <c r="N318" s="10"/>
      <c r="O318" s="10"/>
      <c r="P318" s="10"/>
      <c r="Q318" s="10"/>
      <c r="R318" s="10"/>
    </row>
    <row r="319" spans="14:18" hidden="1" x14ac:dyDescent="0.2">
      <c r="N319" s="10"/>
      <c r="O319" s="10"/>
      <c r="P319" s="10"/>
      <c r="Q319" s="10"/>
      <c r="R319" s="10"/>
    </row>
    <row r="320" spans="14:18" hidden="1" x14ac:dyDescent="0.2">
      <c r="N320" s="10"/>
      <c r="O320" s="10"/>
      <c r="P320" s="10"/>
      <c r="Q320" s="10"/>
      <c r="R320" s="10"/>
    </row>
    <row r="321" spans="14:18" hidden="1" x14ac:dyDescent="0.2">
      <c r="N321" s="10"/>
      <c r="O321" s="10"/>
      <c r="P321" s="10"/>
      <c r="Q321" s="10"/>
      <c r="R321" s="10"/>
    </row>
    <row r="322" spans="14:18" hidden="1" x14ac:dyDescent="0.2">
      <c r="N322" s="10"/>
      <c r="O322" s="10"/>
      <c r="P322" s="10"/>
      <c r="Q322" s="10"/>
      <c r="R322" s="10"/>
    </row>
    <row r="323" spans="14:18" hidden="1" x14ac:dyDescent="0.2">
      <c r="N323" s="10"/>
      <c r="O323" s="10"/>
      <c r="P323" s="10"/>
      <c r="Q323" s="10"/>
      <c r="R323" s="10"/>
    </row>
    <row r="324" spans="14:18" hidden="1" x14ac:dyDescent="0.2">
      <c r="N324" s="10"/>
      <c r="O324" s="10"/>
      <c r="P324" s="10"/>
      <c r="Q324" s="10"/>
      <c r="R324" s="10"/>
    </row>
    <row r="325" spans="14:18" hidden="1" x14ac:dyDescent="0.2">
      <c r="N325" s="10"/>
      <c r="O325" s="10"/>
      <c r="P325" s="10"/>
      <c r="Q325" s="10"/>
      <c r="R325" s="10"/>
    </row>
    <row r="326" spans="14:18" hidden="1" x14ac:dyDescent="0.2">
      <c r="N326" s="10"/>
      <c r="O326" s="10"/>
      <c r="P326" s="10"/>
      <c r="Q326" s="10"/>
      <c r="R326" s="10"/>
    </row>
    <row r="327" spans="14:18" hidden="1" x14ac:dyDescent="0.2">
      <c r="N327" s="10"/>
      <c r="O327" s="10"/>
      <c r="P327" s="10"/>
      <c r="Q327" s="10"/>
      <c r="R327" s="10"/>
    </row>
    <row r="328" spans="14:18" hidden="1" x14ac:dyDescent="0.2">
      <c r="N328" s="10"/>
      <c r="O328" s="10"/>
      <c r="P328" s="10"/>
      <c r="Q328" s="10"/>
      <c r="R328" s="10"/>
    </row>
    <row r="329" spans="14:18" hidden="1" x14ac:dyDescent="0.2">
      <c r="N329" s="10"/>
      <c r="O329" s="10"/>
      <c r="P329" s="10"/>
      <c r="Q329" s="10"/>
      <c r="R329" s="10"/>
    </row>
    <row r="330" spans="14:18" hidden="1" x14ac:dyDescent="0.2">
      <c r="N330" s="10"/>
      <c r="O330" s="10"/>
      <c r="P330" s="10"/>
      <c r="Q330" s="10"/>
      <c r="R330" s="10"/>
    </row>
    <row r="331" spans="14:18" hidden="1" x14ac:dyDescent="0.2">
      <c r="N331" s="10"/>
      <c r="O331" s="10"/>
      <c r="P331" s="10"/>
      <c r="Q331" s="10"/>
      <c r="R331" s="10"/>
    </row>
    <row r="332" spans="14:18" hidden="1" x14ac:dyDescent="0.2">
      <c r="N332" s="10"/>
      <c r="O332" s="10"/>
      <c r="P332" s="10"/>
      <c r="Q332" s="10"/>
      <c r="R332" s="10"/>
    </row>
    <row r="333" spans="14:18" hidden="1" x14ac:dyDescent="0.2">
      <c r="N333" s="10"/>
      <c r="O333" s="10"/>
      <c r="P333" s="10"/>
      <c r="Q333" s="10"/>
      <c r="R333" s="10"/>
    </row>
    <row r="334" spans="14:18" hidden="1" x14ac:dyDescent="0.2">
      <c r="N334" s="10"/>
      <c r="O334" s="10"/>
      <c r="P334" s="10"/>
      <c r="Q334" s="10"/>
      <c r="R334" s="10"/>
    </row>
    <row r="335" spans="14:18" hidden="1" x14ac:dyDescent="0.2">
      <c r="N335" s="10"/>
      <c r="O335" s="10"/>
      <c r="P335" s="10"/>
      <c r="Q335" s="10"/>
      <c r="R335" s="10"/>
    </row>
    <row r="336" spans="14:18" hidden="1" x14ac:dyDescent="0.2">
      <c r="N336" s="10"/>
      <c r="O336" s="10"/>
      <c r="P336" s="10"/>
      <c r="Q336" s="10"/>
      <c r="R336" s="10"/>
    </row>
    <row r="337" spans="14:18" hidden="1" x14ac:dyDescent="0.2">
      <c r="N337" s="10"/>
      <c r="O337" s="10"/>
      <c r="P337" s="10"/>
      <c r="Q337" s="10"/>
      <c r="R337" s="10"/>
    </row>
    <row r="338" spans="14:18" hidden="1" x14ac:dyDescent="0.2">
      <c r="N338" s="10"/>
      <c r="O338" s="10"/>
      <c r="P338" s="10"/>
      <c r="Q338" s="10"/>
      <c r="R338" s="10"/>
    </row>
    <row r="339" spans="14:18" hidden="1" x14ac:dyDescent="0.2">
      <c r="N339" s="10"/>
      <c r="O339" s="10"/>
      <c r="P339" s="10"/>
      <c r="Q339" s="10"/>
      <c r="R339" s="10"/>
    </row>
    <row r="340" spans="14:18" hidden="1" x14ac:dyDescent="0.2">
      <c r="N340" s="10"/>
      <c r="O340" s="10"/>
      <c r="P340" s="10"/>
      <c r="Q340" s="10"/>
      <c r="R340" s="10"/>
    </row>
    <row r="341" spans="14:18" hidden="1" x14ac:dyDescent="0.2">
      <c r="N341" s="10"/>
      <c r="O341" s="10"/>
      <c r="P341" s="10"/>
      <c r="Q341" s="10"/>
      <c r="R341" s="10"/>
    </row>
    <row r="342" spans="14:18" hidden="1" x14ac:dyDescent="0.2">
      <c r="N342" s="10"/>
      <c r="O342" s="10"/>
      <c r="P342" s="10"/>
      <c r="Q342" s="10"/>
      <c r="R342" s="10"/>
    </row>
    <row r="343" spans="14:18" hidden="1" x14ac:dyDescent="0.2">
      <c r="N343" s="10"/>
      <c r="O343" s="10"/>
      <c r="P343" s="10"/>
      <c r="Q343" s="10"/>
      <c r="R343" s="10"/>
    </row>
    <row r="344" spans="14:18" hidden="1" x14ac:dyDescent="0.2">
      <c r="N344" s="10"/>
      <c r="O344" s="10"/>
      <c r="P344" s="10"/>
      <c r="Q344" s="10"/>
      <c r="R344" s="10"/>
    </row>
    <row r="345" spans="14:18" hidden="1" x14ac:dyDescent="0.2">
      <c r="N345" s="10"/>
      <c r="O345" s="10"/>
      <c r="P345" s="10"/>
      <c r="Q345" s="10"/>
      <c r="R345" s="10"/>
    </row>
    <row r="346" spans="14:18" hidden="1" x14ac:dyDescent="0.2">
      <c r="N346" s="10"/>
      <c r="O346" s="10"/>
      <c r="P346" s="10"/>
      <c r="Q346" s="10"/>
      <c r="R346" s="10"/>
    </row>
    <row r="347" spans="14:18" hidden="1" x14ac:dyDescent="0.2">
      <c r="N347" s="10"/>
      <c r="O347" s="10"/>
      <c r="P347" s="10"/>
      <c r="Q347" s="10"/>
      <c r="R347" s="10"/>
    </row>
    <row r="348" spans="14:18" hidden="1" x14ac:dyDescent="0.2">
      <c r="N348" s="10"/>
      <c r="O348" s="10"/>
      <c r="P348" s="10"/>
      <c r="Q348" s="10"/>
      <c r="R348" s="10"/>
    </row>
    <row r="349" spans="14:18" hidden="1" x14ac:dyDescent="0.2">
      <c r="N349" s="10"/>
      <c r="O349" s="10"/>
      <c r="P349" s="10"/>
      <c r="Q349" s="10"/>
      <c r="R349" s="10"/>
    </row>
    <row r="350" spans="14:18" hidden="1" x14ac:dyDescent="0.2">
      <c r="N350" s="10"/>
      <c r="O350" s="10"/>
      <c r="P350" s="10"/>
      <c r="Q350" s="10"/>
      <c r="R350" s="10"/>
    </row>
    <row r="351" spans="14:18" hidden="1" x14ac:dyDescent="0.2">
      <c r="N351" s="10"/>
      <c r="O351" s="10"/>
      <c r="P351" s="10"/>
      <c r="Q351" s="10"/>
      <c r="R351" s="10"/>
    </row>
    <row r="352" spans="14:18" hidden="1" x14ac:dyDescent="0.2">
      <c r="N352" s="10"/>
      <c r="O352" s="10"/>
      <c r="P352" s="10"/>
      <c r="Q352" s="10"/>
      <c r="R352" s="10"/>
    </row>
    <row r="353" spans="14:18" hidden="1" x14ac:dyDescent="0.2">
      <c r="N353" s="10"/>
      <c r="O353" s="10"/>
      <c r="P353" s="10"/>
      <c r="Q353" s="10"/>
      <c r="R353" s="10"/>
    </row>
    <row r="354" spans="14:18" hidden="1" x14ac:dyDescent="0.2">
      <c r="N354" s="10"/>
      <c r="O354" s="10"/>
      <c r="P354" s="10"/>
      <c r="Q354" s="10"/>
      <c r="R354" s="10"/>
    </row>
    <row r="355" spans="14:18" hidden="1" x14ac:dyDescent="0.2">
      <c r="N355" s="10"/>
      <c r="O355" s="10"/>
      <c r="P355" s="10"/>
      <c r="Q355" s="10"/>
      <c r="R355" s="10"/>
    </row>
    <row r="356" spans="14:18" hidden="1" x14ac:dyDescent="0.2">
      <c r="N356" s="10"/>
      <c r="O356" s="10"/>
      <c r="P356" s="10"/>
      <c r="Q356" s="10"/>
      <c r="R356" s="10"/>
    </row>
    <row r="357" spans="14:18" hidden="1" x14ac:dyDescent="0.2">
      <c r="O357" s="21"/>
      <c r="P357" s="21"/>
      <c r="Q357" s="21"/>
      <c r="R357" s="21"/>
    </row>
    <row r="358" spans="14:18" hidden="1" x14ac:dyDescent="0.2">
      <c r="O358" s="21"/>
      <c r="P358" s="21"/>
      <c r="Q358" s="21"/>
      <c r="R358" s="21"/>
    </row>
    <row r="359" spans="14:18" hidden="1" x14ac:dyDescent="0.2">
      <c r="O359" s="21"/>
      <c r="P359" s="21"/>
      <c r="Q359" s="21"/>
      <c r="R359" s="21"/>
    </row>
    <row r="360" spans="14:18" hidden="1" x14ac:dyDescent="0.2">
      <c r="O360" s="21"/>
      <c r="P360" s="21"/>
      <c r="Q360" s="21"/>
      <c r="R360" s="21"/>
    </row>
    <row r="361" spans="14:18" hidden="1" x14ac:dyDescent="0.2">
      <c r="O361" s="21"/>
      <c r="P361" s="21"/>
      <c r="Q361" s="21"/>
      <c r="R361" s="21"/>
    </row>
    <row r="362" spans="14:18" hidden="1" x14ac:dyDescent="0.2">
      <c r="O362" s="21"/>
      <c r="P362" s="21"/>
      <c r="Q362" s="21"/>
      <c r="R362" s="21"/>
    </row>
    <row r="363" spans="14:18" hidden="1" x14ac:dyDescent="0.2">
      <c r="O363" s="21"/>
      <c r="P363" s="21"/>
      <c r="Q363" s="21"/>
      <c r="R363" s="21"/>
    </row>
    <row r="364" spans="14:18" hidden="1" x14ac:dyDescent="0.2">
      <c r="O364" s="21"/>
      <c r="P364" s="21"/>
      <c r="Q364" s="21"/>
      <c r="R364" s="21"/>
    </row>
    <row r="365" spans="14:18" hidden="1" x14ac:dyDescent="0.2">
      <c r="O365" s="21"/>
      <c r="P365" s="21"/>
      <c r="Q365" s="21"/>
      <c r="R365" s="21"/>
    </row>
    <row r="366" spans="14:18" hidden="1" x14ac:dyDescent="0.2">
      <c r="O366" s="21"/>
      <c r="P366" s="21"/>
      <c r="Q366" s="21"/>
      <c r="R366" s="21"/>
    </row>
    <row r="367" spans="14:18" hidden="1" x14ac:dyDescent="0.2">
      <c r="O367" s="21"/>
      <c r="P367" s="21"/>
      <c r="Q367" s="21"/>
      <c r="R367" s="21"/>
    </row>
    <row r="368" spans="14:18" hidden="1" x14ac:dyDescent="0.2">
      <c r="O368" s="21"/>
      <c r="P368" s="21"/>
      <c r="Q368" s="21"/>
      <c r="R368" s="21"/>
    </row>
    <row r="369" spans="15:18" hidden="1" x14ac:dyDescent="0.2">
      <c r="O369" s="21"/>
      <c r="P369" s="21"/>
      <c r="Q369" s="21"/>
      <c r="R369" s="21"/>
    </row>
    <row r="370" spans="15:18" hidden="1" x14ac:dyDescent="0.2">
      <c r="O370" s="21"/>
      <c r="P370" s="21"/>
      <c r="Q370" s="21"/>
      <c r="R370" s="21"/>
    </row>
    <row r="371" spans="15:18" hidden="1" x14ac:dyDescent="0.2">
      <c r="O371" s="21"/>
      <c r="P371" s="21"/>
      <c r="Q371" s="21"/>
      <c r="R371" s="21"/>
    </row>
    <row r="372" spans="15:18" hidden="1" x14ac:dyDescent="0.2">
      <c r="O372" s="21"/>
      <c r="P372" s="21"/>
      <c r="Q372" s="21"/>
      <c r="R372" s="21"/>
    </row>
    <row r="373" spans="15:18" hidden="1" x14ac:dyDescent="0.2">
      <c r="O373" s="21"/>
      <c r="P373" s="21"/>
      <c r="Q373" s="21"/>
      <c r="R373" s="21"/>
    </row>
    <row r="374" spans="15:18" hidden="1" x14ac:dyDescent="0.2">
      <c r="O374" s="21"/>
      <c r="P374" s="21"/>
      <c r="Q374" s="21"/>
      <c r="R374" s="21"/>
    </row>
    <row r="375" spans="15:18" hidden="1" x14ac:dyDescent="0.2">
      <c r="O375" s="21"/>
      <c r="P375" s="21"/>
      <c r="Q375" s="21"/>
      <c r="R375" s="21"/>
    </row>
    <row r="376" spans="15:18" hidden="1" x14ac:dyDescent="0.2">
      <c r="O376" s="21"/>
      <c r="P376" s="21"/>
      <c r="Q376" s="21"/>
      <c r="R376" s="21"/>
    </row>
    <row r="377" spans="15:18" hidden="1" x14ac:dyDescent="0.2">
      <c r="O377" s="21"/>
      <c r="P377" s="21"/>
      <c r="Q377" s="21"/>
      <c r="R377" s="21"/>
    </row>
    <row r="378" spans="15:18" hidden="1" x14ac:dyDescent="0.2">
      <c r="O378" s="21"/>
      <c r="P378" s="21"/>
      <c r="Q378" s="21"/>
      <c r="R378" s="21"/>
    </row>
    <row r="379" spans="15:18" hidden="1" x14ac:dyDescent="0.2">
      <c r="O379" s="21"/>
      <c r="P379" s="21"/>
      <c r="Q379" s="21"/>
      <c r="R379" s="21"/>
    </row>
    <row r="380" spans="15:18" hidden="1" x14ac:dyDescent="0.2">
      <c r="O380" s="21"/>
      <c r="P380" s="21"/>
      <c r="Q380" s="21"/>
      <c r="R380" s="21"/>
    </row>
    <row r="381" spans="15:18" hidden="1" x14ac:dyDescent="0.2">
      <c r="O381" s="21"/>
      <c r="P381" s="21"/>
      <c r="Q381" s="21"/>
      <c r="R381" s="21"/>
    </row>
    <row r="382" spans="15:18" hidden="1" x14ac:dyDescent="0.2">
      <c r="O382" s="21"/>
      <c r="P382" s="21"/>
      <c r="Q382" s="21"/>
      <c r="R382" s="21"/>
    </row>
    <row r="383" spans="15:18" hidden="1" x14ac:dyDescent="0.2">
      <c r="O383" s="21"/>
      <c r="P383" s="21"/>
      <c r="Q383" s="21"/>
      <c r="R383" s="21"/>
    </row>
    <row r="384" spans="15:18" hidden="1" x14ac:dyDescent="0.2">
      <c r="O384" s="21"/>
      <c r="P384" s="21"/>
      <c r="Q384" s="21"/>
      <c r="R384" s="21"/>
    </row>
    <row r="385" spans="15:18" hidden="1" x14ac:dyDescent="0.2">
      <c r="O385" s="21"/>
      <c r="P385" s="21"/>
      <c r="Q385" s="21"/>
      <c r="R385" s="21"/>
    </row>
    <row r="386" spans="15:18" hidden="1" x14ac:dyDescent="0.2">
      <c r="O386" s="21"/>
      <c r="P386" s="21"/>
      <c r="Q386" s="21"/>
      <c r="R386" s="21"/>
    </row>
    <row r="387" spans="15:18" hidden="1" x14ac:dyDescent="0.2">
      <c r="O387" s="21"/>
      <c r="P387" s="21"/>
      <c r="Q387" s="21"/>
      <c r="R387" s="21"/>
    </row>
    <row r="388" spans="15:18" hidden="1" x14ac:dyDescent="0.2">
      <c r="O388" s="21"/>
      <c r="P388" s="21"/>
      <c r="Q388" s="21"/>
      <c r="R388" s="21"/>
    </row>
    <row r="389" spans="15:18" hidden="1" x14ac:dyDescent="0.2">
      <c r="O389" s="21"/>
      <c r="P389" s="21"/>
      <c r="Q389" s="21"/>
      <c r="R389" s="21"/>
    </row>
    <row r="390" spans="15:18" hidden="1" x14ac:dyDescent="0.2">
      <c r="O390" s="21"/>
      <c r="P390" s="21"/>
      <c r="Q390" s="21"/>
      <c r="R390" s="21"/>
    </row>
    <row r="391" spans="15:18" hidden="1" x14ac:dyDescent="0.2">
      <c r="O391" s="21"/>
      <c r="P391" s="21"/>
      <c r="Q391" s="21"/>
      <c r="R391" s="21"/>
    </row>
    <row r="392" spans="15:18" hidden="1" x14ac:dyDescent="0.2">
      <c r="O392" s="21"/>
      <c r="P392" s="21"/>
      <c r="Q392" s="21"/>
      <c r="R392" s="21"/>
    </row>
    <row r="393" spans="15:18" hidden="1" x14ac:dyDescent="0.2">
      <c r="O393" s="21"/>
      <c r="P393" s="21"/>
      <c r="Q393" s="21"/>
      <c r="R393" s="21"/>
    </row>
    <row r="394" spans="15:18" hidden="1" x14ac:dyDescent="0.2">
      <c r="O394" s="21"/>
      <c r="P394" s="21"/>
      <c r="Q394" s="21"/>
      <c r="R394" s="21"/>
    </row>
    <row r="395" spans="15:18" hidden="1" x14ac:dyDescent="0.2">
      <c r="O395" s="21"/>
      <c r="P395" s="21"/>
      <c r="Q395" s="21"/>
      <c r="R395" s="21"/>
    </row>
    <row r="396" spans="15:18" hidden="1" x14ac:dyDescent="0.2">
      <c r="O396" s="21"/>
      <c r="P396" s="21"/>
      <c r="Q396" s="21"/>
      <c r="R396" s="21"/>
    </row>
    <row r="397" spans="15:18" hidden="1" x14ac:dyDescent="0.2">
      <c r="O397" s="21"/>
      <c r="P397" s="21"/>
      <c r="Q397" s="21"/>
      <c r="R397" s="21"/>
    </row>
    <row r="398" spans="15:18" hidden="1" x14ac:dyDescent="0.2">
      <c r="O398" s="21"/>
      <c r="P398" s="21"/>
      <c r="Q398" s="21"/>
      <c r="R398" s="21"/>
    </row>
    <row r="399" spans="15:18" hidden="1" x14ac:dyDescent="0.2">
      <c r="O399" s="21"/>
      <c r="P399" s="21"/>
      <c r="Q399" s="21"/>
      <c r="R399" s="21"/>
    </row>
    <row r="400" spans="15:18" hidden="1" x14ac:dyDescent="0.2">
      <c r="O400" s="21"/>
      <c r="P400" s="21"/>
      <c r="Q400" s="21"/>
      <c r="R400" s="21"/>
    </row>
    <row r="401" spans="15:18" hidden="1" x14ac:dyDescent="0.2">
      <c r="O401" s="21"/>
      <c r="P401" s="21"/>
      <c r="Q401" s="21"/>
      <c r="R401" s="21"/>
    </row>
    <row r="402" spans="15:18" hidden="1" x14ac:dyDescent="0.2">
      <c r="O402" s="21"/>
      <c r="P402" s="21"/>
      <c r="Q402" s="21"/>
      <c r="R402" s="21"/>
    </row>
    <row r="403" spans="15:18" hidden="1" x14ac:dyDescent="0.2">
      <c r="O403" s="21"/>
      <c r="P403" s="21"/>
      <c r="Q403" s="21"/>
      <c r="R403" s="21"/>
    </row>
    <row r="404" spans="15:18" hidden="1" x14ac:dyDescent="0.2">
      <c r="O404" s="21"/>
      <c r="P404" s="21"/>
      <c r="Q404" s="21"/>
      <c r="R404" s="21"/>
    </row>
    <row r="405" spans="15:18" hidden="1" x14ac:dyDescent="0.2">
      <c r="O405" s="21"/>
      <c r="P405" s="21"/>
      <c r="Q405" s="21"/>
      <c r="R405" s="21"/>
    </row>
    <row r="406" spans="15:18" hidden="1" x14ac:dyDescent="0.2">
      <c r="O406" s="21"/>
      <c r="P406" s="21"/>
      <c r="Q406" s="21"/>
      <c r="R406" s="21"/>
    </row>
    <row r="407" spans="15:18" hidden="1" x14ac:dyDescent="0.2">
      <c r="O407" s="21"/>
      <c r="P407" s="21"/>
      <c r="Q407" s="21"/>
      <c r="R407" s="21"/>
    </row>
    <row r="408" spans="15:18" hidden="1" x14ac:dyDescent="0.2">
      <c r="O408" s="21"/>
      <c r="P408" s="21"/>
      <c r="Q408" s="21"/>
      <c r="R408" s="21"/>
    </row>
    <row r="409" spans="15:18" hidden="1" x14ac:dyDescent="0.2">
      <c r="O409" s="21"/>
      <c r="P409" s="21"/>
      <c r="Q409" s="21"/>
      <c r="R409" s="21"/>
    </row>
    <row r="410" spans="15:18" hidden="1" x14ac:dyDescent="0.2">
      <c r="O410" s="21"/>
      <c r="P410" s="21"/>
      <c r="Q410" s="21"/>
      <c r="R410" s="21"/>
    </row>
    <row r="411" spans="15:18" hidden="1" x14ac:dyDescent="0.2">
      <c r="O411" s="21"/>
      <c r="P411" s="21"/>
      <c r="Q411" s="21"/>
      <c r="R411" s="21"/>
    </row>
    <row r="412" spans="15:18" hidden="1" x14ac:dyDescent="0.2">
      <c r="O412" s="21"/>
      <c r="P412" s="21"/>
      <c r="Q412" s="21"/>
      <c r="R412" s="21"/>
    </row>
    <row r="413" spans="15:18" hidden="1" x14ac:dyDescent="0.2">
      <c r="O413" s="21"/>
      <c r="P413" s="21"/>
      <c r="Q413" s="21"/>
      <c r="R413" s="21"/>
    </row>
    <row r="414" spans="15:18" hidden="1" x14ac:dyDescent="0.2">
      <c r="O414" s="21"/>
      <c r="P414" s="21"/>
      <c r="Q414" s="21"/>
      <c r="R414" s="21"/>
    </row>
    <row r="415" spans="15:18" hidden="1" x14ac:dyDescent="0.2">
      <c r="O415" s="21"/>
      <c r="P415" s="21"/>
      <c r="Q415" s="21"/>
      <c r="R415" s="21"/>
    </row>
    <row r="416" spans="15:18" hidden="1" x14ac:dyDescent="0.2">
      <c r="O416" s="21"/>
      <c r="P416" s="21"/>
      <c r="Q416" s="21"/>
      <c r="R416" s="21"/>
    </row>
    <row r="417" spans="15:18" hidden="1" x14ac:dyDescent="0.2">
      <c r="O417" s="21"/>
      <c r="P417" s="21"/>
      <c r="Q417" s="21"/>
      <c r="R417" s="21"/>
    </row>
    <row r="418" spans="15:18" hidden="1" x14ac:dyDescent="0.2">
      <c r="O418" s="21"/>
      <c r="P418" s="21"/>
      <c r="Q418" s="21"/>
      <c r="R418" s="21"/>
    </row>
    <row r="419" spans="15:18" hidden="1" x14ac:dyDescent="0.2">
      <c r="O419" s="21"/>
      <c r="P419" s="21"/>
      <c r="Q419" s="21"/>
      <c r="R419" s="21"/>
    </row>
    <row r="420" spans="15:18" hidden="1" x14ac:dyDescent="0.2">
      <c r="O420" s="21"/>
      <c r="P420" s="21"/>
      <c r="Q420" s="21"/>
      <c r="R420" s="21"/>
    </row>
    <row r="421" spans="15:18" hidden="1" x14ac:dyDescent="0.2">
      <c r="O421" s="21"/>
      <c r="P421" s="21"/>
      <c r="Q421" s="21"/>
      <c r="R421" s="21"/>
    </row>
    <row r="422" spans="15:18" hidden="1" x14ac:dyDescent="0.2">
      <c r="O422" s="21"/>
      <c r="P422" s="21"/>
      <c r="Q422" s="21"/>
      <c r="R422" s="21"/>
    </row>
    <row r="423" spans="15:18" hidden="1" x14ac:dyDescent="0.2">
      <c r="O423" s="21"/>
      <c r="P423" s="21"/>
      <c r="Q423" s="21"/>
      <c r="R423" s="21"/>
    </row>
    <row r="424" spans="15:18" hidden="1" x14ac:dyDescent="0.2">
      <c r="O424" s="21"/>
      <c r="P424" s="21"/>
      <c r="Q424" s="21"/>
      <c r="R424" s="21"/>
    </row>
    <row r="425" spans="15:18" hidden="1" x14ac:dyDescent="0.2">
      <c r="O425" s="21"/>
      <c r="P425" s="21"/>
      <c r="Q425" s="21"/>
      <c r="R425" s="21"/>
    </row>
    <row r="426" spans="15:18" hidden="1" x14ac:dyDescent="0.2">
      <c r="O426" s="21"/>
      <c r="P426" s="21"/>
      <c r="Q426" s="21"/>
      <c r="R426" s="21"/>
    </row>
    <row r="427" spans="15:18" hidden="1" x14ac:dyDescent="0.2">
      <c r="O427" s="21"/>
      <c r="P427" s="21"/>
      <c r="Q427" s="21"/>
      <c r="R427" s="21"/>
    </row>
    <row r="428" spans="15:18" hidden="1" x14ac:dyDescent="0.2">
      <c r="O428" s="21"/>
      <c r="P428" s="21"/>
      <c r="Q428" s="21"/>
      <c r="R428" s="21"/>
    </row>
    <row r="429" spans="15:18" hidden="1" x14ac:dyDescent="0.2">
      <c r="O429" s="21"/>
      <c r="P429" s="21"/>
      <c r="Q429" s="21"/>
      <c r="R429" s="21"/>
    </row>
    <row r="430" spans="15:18" hidden="1" x14ac:dyDescent="0.2">
      <c r="O430" s="21"/>
      <c r="P430" s="21"/>
      <c r="Q430" s="21"/>
      <c r="R430" s="21"/>
    </row>
    <row r="431" spans="15:18" hidden="1" x14ac:dyDescent="0.2">
      <c r="O431" s="21"/>
      <c r="P431" s="21"/>
      <c r="Q431" s="21"/>
      <c r="R431" s="21"/>
    </row>
    <row r="432" spans="15:18" hidden="1" x14ac:dyDescent="0.2">
      <c r="O432" s="21"/>
      <c r="P432" s="21"/>
      <c r="Q432" s="21"/>
      <c r="R432" s="21"/>
    </row>
    <row r="433" spans="15:18" hidden="1" x14ac:dyDescent="0.2">
      <c r="O433" s="21"/>
      <c r="P433" s="21"/>
      <c r="Q433" s="21"/>
      <c r="R433" s="21"/>
    </row>
    <row r="434" spans="15:18" hidden="1" x14ac:dyDescent="0.2">
      <c r="O434" s="21"/>
      <c r="P434" s="21"/>
      <c r="Q434" s="21"/>
      <c r="R434" s="21"/>
    </row>
    <row r="435" spans="15:18" hidden="1" x14ac:dyDescent="0.2">
      <c r="O435" s="21"/>
      <c r="P435" s="21"/>
      <c r="Q435" s="21"/>
      <c r="R435" s="21"/>
    </row>
    <row r="436" spans="15:18" hidden="1" x14ac:dyDescent="0.2">
      <c r="O436" s="21"/>
      <c r="P436" s="21"/>
      <c r="Q436" s="21"/>
      <c r="R436" s="21"/>
    </row>
    <row r="437" spans="15:18" hidden="1" x14ac:dyDescent="0.2">
      <c r="O437" s="21"/>
      <c r="P437" s="21"/>
      <c r="Q437" s="21"/>
      <c r="R437" s="21"/>
    </row>
    <row r="438" spans="15:18" hidden="1" x14ac:dyDescent="0.2">
      <c r="O438" s="21"/>
      <c r="P438" s="21"/>
      <c r="Q438" s="21"/>
      <c r="R438" s="21"/>
    </row>
    <row r="439" spans="15:18" hidden="1" x14ac:dyDescent="0.2">
      <c r="O439" s="21"/>
      <c r="P439" s="21"/>
      <c r="Q439" s="21"/>
      <c r="R439" s="21"/>
    </row>
    <row r="440" spans="15:18" hidden="1" x14ac:dyDescent="0.2">
      <c r="O440" s="21"/>
      <c r="P440" s="21"/>
      <c r="Q440" s="21"/>
      <c r="R440" s="21"/>
    </row>
    <row r="441" spans="15:18" hidden="1" x14ac:dyDescent="0.2">
      <c r="O441" s="21"/>
      <c r="P441" s="21"/>
      <c r="Q441" s="21"/>
      <c r="R441" s="21"/>
    </row>
    <row r="442" spans="15:18" hidden="1" x14ac:dyDescent="0.2">
      <c r="O442" s="21"/>
      <c r="P442" s="21"/>
      <c r="Q442" s="21"/>
      <c r="R442" s="21"/>
    </row>
    <row r="443" spans="15:18" hidden="1" x14ac:dyDescent="0.2">
      <c r="O443" s="21"/>
      <c r="P443" s="21"/>
      <c r="Q443" s="21"/>
      <c r="R443" s="21"/>
    </row>
    <row r="444" spans="15:18" hidden="1" x14ac:dyDescent="0.2">
      <c r="O444" s="21"/>
      <c r="P444" s="21"/>
      <c r="Q444" s="21"/>
      <c r="R444" s="21"/>
    </row>
    <row r="445" spans="15:18" hidden="1" x14ac:dyDescent="0.2">
      <c r="O445" s="21"/>
      <c r="P445" s="21"/>
      <c r="Q445" s="21"/>
      <c r="R445" s="21"/>
    </row>
    <row r="446" spans="15:18" hidden="1" x14ac:dyDescent="0.2">
      <c r="O446" s="21"/>
      <c r="P446" s="21"/>
      <c r="Q446" s="21"/>
      <c r="R446" s="21"/>
    </row>
    <row r="447" spans="15:18" hidden="1" x14ac:dyDescent="0.2">
      <c r="O447" s="21"/>
      <c r="P447" s="21"/>
      <c r="Q447" s="21"/>
      <c r="R447" s="21"/>
    </row>
    <row r="448" spans="15:18" hidden="1" x14ac:dyDescent="0.2">
      <c r="O448" s="21"/>
      <c r="P448" s="21"/>
      <c r="Q448" s="21"/>
      <c r="R448" s="21"/>
    </row>
    <row r="449" spans="15:18" hidden="1" x14ac:dyDescent="0.2">
      <c r="O449" s="21"/>
      <c r="P449" s="21"/>
      <c r="Q449" s="21"/>
      <c r="R449" s="21"/>
    </row>
    <row r="450" spans="15:18" hidden="1" x14ac:dyDescent="0.2">
      <c r="O450" s="21"/>
      <c r="P450" s="21"/>
      <c r="Q450" s="21"/>
      <c r="R450" s="21"/>
    </row>
    <row r="451" spans="15:18" hidden="1" x14ac:dyDescent="0.2">
      <c r="O451" s="21"/>
      <c r="P451" s="21"/>
      <c r="Q451" s="21"/>
      <c r="R451" s="21"/>
    </row>
    <row r="452" spans="15:18" hidden="1" x14ac:dyDescent="0.2">
      <c r="O452" s="21"/>
      <c r="P452" s="21"/>
      <c r="Q452" s="21"/>
      <c r="R452" s="21"/>
    </row>
    <row r="453" spans="15:18" hidden="1" x14ac:dyDescent="0.2">
      <c r="O453" s="21"/>
      <c r="P453" s="21"/>
      <c r="Q453" s="21"/>
      <c r="R453" s="21"/>
    </row>
    <row r="454" spans="15:18" hidden="1" x14ac:dyDescent="0.2">
      <c r="O454" s="21"/>
      <c r="P454" s="21"/>
      <c r="Q454" s="21"/>
      <c r="R454" s="21"/>
    </row>
    <row r="455" spans="15:18" hidden="1" x14ac:dyDescent="0.2">
      <c r="O455" s="21"/>
      <c r="P455" s="21"/>
      <c r="Q455" s="21"/>
      <c r="R455" s="21"/>
    </row>
    <row r="456" spans="15:18" hidden="1" x14ac:dyDescent="0.2">
      <c r="O456" s="21"/>
      <c r="P456" s="21"/>
      <c r="Q456" s="21"/>
      <c r="R456" s="21"/>
    </row>
    <row r="457" spans="15:18" hidden="1" x14ac:dyDescent="0.2">
      <c r="O457" s="21"/>
      <c r="P457" s="21"/>
      <c r="Q457" s="21"/>
      <c r="R457" s="21"/>
    </row>
    <row r="458" spans="15:18" hidden="1" x14ac:dyDescent="0.2">
      <c r="O458" s="21"/>
      <c r="P458" s="21"/>
      <c r="Q458" s="21"/>
      <c r="R458" s="21"/>
    </row>
    <row r="459" spans="15:18" hidden="1" x14ac:dyDescent="0.2">
      <c r="O459" s="21"/>
      <c r="P459" s="21"/>
      <c r="Q459" s="21"/>
      <c r="R459" s="21"/>
    </row>
    <row r="460" spans="15:18" hidden="1" x14ac:dyDescent="0.2">
      <c r="O460" s="21"/>
      <c r="P460" s="21"/>
      <c r="Q460" s="21"/>
      <c r="R460" s="21"/>
    </row>
    <row r="461" spans="15:18" hidden="1" x14ac:dyDescent="0.2">
      <c r="O461" s="21"/>
      <c r="P461" s="21"/>
      <c r="Q461" s="21"/>
      <c r="R461" s="21"/>
    </row>
    <row r="462" spans="15:18" hidden="1" x14ac:dyDescent="0.2">
      <c r="O462" s="21"/>
      <c r="P462" s="21"/>
      <c r="Q462" s="21"/>
      <c r="R462" s="21"/>
    </row>
    <row r="463" spans="15:18" hidden="1" x14ac:dyDescent="0.2">
      <c r="O463" s="21"/>
      <c r="P463" s="21"/>
      <c r="Q463" s="21"/>
      <c r="R463" s="21"/>
    </row>
    <row r="464" spans="15:18" hidden="1" x14ac:dyDescent="0.2">
      <c r="O464" s="21"/>
      <c r="P464" s="21"/>
      <c r="Q464" s="21"/>
      <c r="R464" s="21"/>
    </row>
    <row r="465" spans="15:18" hidden="1" x14ac:dyDescent="0.2">
      <c r="O465" s="21"/>
      <c r="P465" s="21"/>
      <c r="Q465" s="21"/>
      <c r="R465" s="21"/>
    </row>
    <row r="466" spans="15:18" hidden="1" x14ac:dyDescent="0.2">
      <c r="O466" s="21"/>
      <c r="P466" s="21"/>
      <c r="Q466" s="21"/>
      <c r="R466" s="21"/>
    </row>
    <row r="467" spans="15:18" hidden="1" x14ac:dyDescent="0.2">
      <c r="O467" s="21"/>
      <c r="P467" s="21"/>
      <c r="Q467" s="21"/>
      <c r="R467" s="21"/>
    </row>
    <row r="468" spans="15:18" hidden="1" x14ac:dyDescent="0.2">
      <c r="O468" s="21"/>
      <c r="P468" s="21"/>
      <c r="Q468" s="21"/>
      <c r="R468" s="21"/>
    </row>
    <row r="469" spans="15:18" hidden="1" x14ac:dyDescent="0.2">
      <c r="O469" s="21"/>
      <c r="P469" s="21"/>
      <c r="Q469" s="21"/>
      <c r="R469" s="21"/>
    </row>
    <row r="470" spans="15:18" hidden="1" x14ac:dyDescent="0.2">
      <c r="O470" s="21"/>
      <c r="P470" s="21"/>
      <c r="Q470" s="21"/>
      <c r="R470" s="21"/>
    </row>
    <row r="471" spans="15:18" hidden="1" x14ac:dyDescent="0.2">
      <c r="O471" s="21"/>
      <c r="P471" s="21"/>
      <c r="Q471" s="21"/>
      <c r="R471" s="21"/>
    </row>
    <row r="472" spans="15:18" hidden="1" x14ac:dyDescent="0.2">
      <c r="O472" s="21"/>
      <c r="P472" s="21"/>
      <c r="Q472" s="21"/>
      <c r="R472" s="21"/>
    </row>
    <row r="473" spans="15:18" hidden="1" x14ac:dyDescent="0.2">
      <c r="O473" s="21"/>
      <c r="P473" s="21"/>
      <c r="Q473" s="21"/>
      <c r="R473" s="21"/>
    </row>
    <row r="474" spans="15:18" hidden="1" x14ac:dyDescent="0.2">
      <c r="O474" s="21"/>
      <c r="P474" s="21"/>
      <c r="Q474" s="21"/>
      <c r="R474" s="21"/>
    </row>
    <row r="475" spans="15:18" hidden="1" x14ac:dyDescent="0.2">
      <c r="O475" s="21"/>
      <c r="P475" s="21"/>
      <c r="Q475" s="21"/>
      <c r="R475" s="21"/>
    </row>
    <row r="476" spans="15:18" hidden="1" x14ac:dyDescent="0.2">
      <c r="O476" s="21"/>
      <c r="P476" s="21"/>
      <c r="Q476" s="21"/>
      <c r="R476" s="21"/>
    </row>
    <row r="477" spans="15:18" hidden="1" x14ac:dyDescent="0.2">
      <c r="O477" s="21"/>
      <c r="P477" s="21"/>
      <c r="Q477" s="21"/>
      <c r="R477" s="21"/>
    </row>
    <row r="478" spans="15:18" hidden="1" x14ac:dyDescent="0.2">
      <c r="O478" s="21"/>
      <c r="P478" s="21"/>
      <c r="Q478" s="21"/>
      <c r="R478" s="21"/>
    </row>
    <row r="479" spans="15:18" hidden="1" x14ac:dyDescent="0.2">
      <c r="O479" s="21"/>
      <c r="P479" s="21"/>
      <c r="Q479" s="21"/>
      <c r="R479" s="21"/>
    </row>
    <row r="480" spans="15:18" hidden="1" x14ac:dyDescent="0.2">
      <c r="O480" s="21"/>
      <c r="P480" s="21"/>
      <c r="Q480" s="21"/>
      <c r="R480" s="21"/>
    </row>
    <row r="481" spans="15:18" hidden="1" x14ac:dyDescent="0.2">
      <c r="O481" s="21"/>
      <c r="P481" s="21"/>
      <c r="Q481" s="21"/>
      <c r="R481" s="21"/>
    </row>
  </sheetData>
  <dataConsolidate/>
  <customSheetViews>
    <customSheetView guid="{2DEE39A3-88C5-4D7F-AEB9-0B43FD431165}" showGridLines="0" fitToPage="1" printArea="1" hiddenColumns="1">
      <pane xSplit="2" ySplit="7" topLeftCell="C261" activePane="bottomRight" state="frozen"/>
      <selection pane="bottomRight" activeCell="V276" sqref="V276"/>
      <rowBreaks count="3" manualBreakCount="3">
        <brk id="77" max="19" man="1"/>
        <brk id="193" max="16383" man="1"/>
        <brk id="233" max="16383" man="1"/>
      </rowBreaks>
      <pageMargins left="0.15748031496062992" right="0.15748031496062992" top="0.19685039370078741" bottom="0.15748031496062992" header="0.51181102362204722" footer="0.15748031496062992"/>
      <pageSetup paperSize="9" scale="61" fitToHeight="4" orientation="landscape" verticalDpi="300" r:id="rId1"/>
      <headerFooter alignWithMargins="0">
        <oddHeader>&amp;CSeite &amp;P</oddHeader>
        <oddFooter>&amp;R&amp;8&amp;F   &amp;A   WS09/00</oddFooter>
      </headerFooter>
    </customSheetView>
    <customSheetView guid="{117F828A-4542-4D18-9CDB-B606529AAD66}" showGridLines="0" showRowCol="0" fitToPage="1" hiddenRows="1" hiddenColumns="1">
      <pane xSplit="2" ySplit="7" topLeftCell="C167" activePane="bottomRight" state="frozen"/>
      <selection pane="bottomRight" activeCell="B56" sqref="B56:Y196"/>
      <rowBreaks count="3" manualBreakCount="3">
        <brk id="77" max="19" man="1"/>
        <brk id="133" max="16383" man="1"/>
        <brk id="173" max="16383" man="1"/>
      </rowBreaks>
      <pageMargins left="0.15748031496062992" right="0.15748031496062992" top="0.19685039370078741" bottom="0.15748031496062992" header="0.51181102362204722" footer="0.15748031496062992"/>
      <pageSetup paperSize="9" scale="61" fitToHeight="4" orientation="landscape" verticalDpi="300" r:id="rId2"/>
      <headerFooter alignWithMargins="0">
        <oddHeader>&amp;CSeite &amp;P</oddHeader>
        <oddFooter>&amp;R&amp;8&amp;F   &amp;A   WS09/00</oddFooter>
      </headerFooter>
    </customSheetView>
  </customSheetViews>
  <mergeCells count="5">
    <mergeCell ref="K4:L4"/>
    <mergeCell ref="K3:L3"/>
    <mergeCell ref="P7:Z7"/>
    <mergeCell ref="K7:N7"/>
    <mergeCell ref="H7:I7"/>
  </mergeCells>
  <phoneticPr fontId="0" type="noConversion"/>
  <conditionalFormatting sqref="A1:A1048576">
    <cfRule type="beginsWith" dxfId="66" priority="32" operator="beginsWith" text="G">
      <formula>LEFT(A1,LEN("G"))="G"</formula>
    </cfRule>
  </conditionalFormatting>
  <conditionalFormatting sqref="C230:H231">
    <cfRule type="cellIs" dxfId="65" priority="178" operator="equal">
      <formula>0</formula>
    </cfRule>
  </conditionalFormatting>
  <conditionalFormatting sqref="C9:AC34 C36:H44 AM36:XFD44 C46:H54">
    <cfRule type="cellIs" dxfId="64" priority="218" operator="equal">
      <formula>0</formula>
    </cfRule>
  </conditionalFormatting>
  <conditionalFormatting sqref="C252:AC263">
    <cfRule type="cellIs" dxfId="63" priority="1" operator="equal">
      <formula>0</formula>
    </cfRule>
  </conditionalFormatting>
  <conditionalFormatting sqref="C281:AC288">
    <cfRule type="cellIs" dxfId="62" priority="2" operator="equal">
      <formula>0</formula>
    </cfRule>
  </conditionalFormatting>
  <conditionalFormatting sqref="K46:AC54">
    <cfRule type="cellIs" dxfId="61" priority="4" operator="equal">
      <formula>0</formula>
    </cfRule>
  </conditionalFormatting>
  <conditionalFormatting sqref="K36:AK44">
    <cfRule type="cellIs" dxfId="60" priority="224" operator="equal">
      <formula>0</formula>
    </cfRule>
  </conditionalFormatting>
  <conditionalFormatting sqref="Z12:AA12 Z227:Z230">
    <cfRule type="cellIs" dxfId="59" priority="183" operator="equal">
      <formula>0</formula>
    </cfRule>
  </conditionalFormatting>
  <conditionalFormatting sqref="AA57:AA83 AC57:AC83">
    <cfRule type="containsText" dxfId="58" priority="51" operator="containsText" text="...">
      <formula>NOT(ISERROR(SEARCH("...",AA57)))</formula>
    </cfRule>
    <cfRule type="cellIs" dxfId="57" priority="52" operator="equal">
      <formula>0</formula>
    </cfRule>
  </conditionalFormatting>
  <conditionalFormatting sqref="AA86:AA162 AC86:AC162">
    <cfRule type="containsText" dxfId="56" priority="48" operator="containsText" text="...">
      <formula>NOT(ISERROR(SEARCH("...",AA86)))</formula>
    </cfRule>
    <cfRule type="cellIs" dxfId="55" priority="49" operator="equal">
      <formula>0</formula>
    </cfRule>
  </conditionalFormatting>
  <conditionalFormatting sqref="AA165:AA199 AC165:AC199">
    <cfRule type="containsText" dxfId="54" priority="45" operator="containsText" text="...">
      <formula>NOT(ISERROR(SEARCH("...",AA165)))</formula>
    </cfRule>
    <cfRule type="cellIs" dxfId="53" priority="46" operator="equal">
      <formula>0</formula>
    </cfRule>
  </conditionalFormatting>
  <conditionalFormatting sqref="AA202:AA239 AC202:AC239">
    <cfRule type="containsText" dxfId="52" priority="42" operator="containsText" text="...">
      <formula>NOT(ISERROR(SEARCH("...",AA202)))</formula>
    </cfRule>
    <cfRule type="cellIs" dxfId="51" priority="43" operator="equal">
      <formula>0</formula>
    </cfRule>
  </conditionalFormatting>
  <conditionalFormatting sqref="AA242:AA250 AC242:AC250">
    <cfRule type="containsText" dxfId="50" priority="39" operator="containsText" text="...">
      <formula>NOT(ISERROR(SEARCH("...",AA242)))</formula>
    </cfRule>
    <cfRule type="cellIs" dxfId="49" priority="40" operator="equal">
      <formula>0</formula>
    </cfRule>
  </conditionalFormatting>
  <conditionalFormatting sqref="AA265:AA279 AC265:AC279">
    <cfRule type="containsText" dxfId="48" priority="36" operator="containsText" text="...">
      <formula>NOT(ISERROR(SEARCH("...",AA265)))</formula>
    </cfRule>
    <cfRule type="cellIs" dxfId="47" priority="37" operator="equal">
      <formula>0</formula>
    </cfRule>
  </conditionalFormatting>
  <conditionalFormatting sqref="AA240:AC240">
    <cfRule type="cellIs" dxfId="46" priority="191" operator="equal">
      <formula>0</formula>
    </cfRule>
  </conditionalFormatting>
  <conditionalFormatting sqref="AB227:AB231">
    <cfRule type="cellIs" dxfId="45" priority="157" operator="equal">
      <formula>0</formula>
    </cfRule>
  </conditionalFormatting>
  <conditionalFormatting sqref="AB279">
    <cfRule type="containsText" dxfId="44" priority="33" operator="containsText" text="...">
      <formula>NOT(ISERROR(SEARCH("...",AB279)))</formula>
    </cfRule>
    <cfRule type="cellIs" dxfId="43" priority="34" operator="equal">
      <formula>0</formula>
    </cfRule>
  </conditionalFormatting>
  <pageMargins left="0.15748031496062992" right="0.15748031496062992" top="0.19685039370078741" bottom="0.15748031496062992" header="0.51181102362204722" footer="0.15748031496062992"/>
  <pageSetup paperSize="9" scale="41" fitToHeight="4" orientation="landscape" verticalDpi="300" r:id="rId3"/>
  <headerFooter alignWithMargins="0">
    <oddHeader>&amp;CSeite &amp;P</oddHeader>
    <oddFooter>&amp;R&amp;8&amp;F   &amp;A   WS09/00</oddFooter>
  </headerFooter>
  <rowBreaks count="3" manualBreakCount="3">
    <brk id="77" max="19" man="1"/>
    <brk id="133" max="16383" man="1"/>
    <brk id="173" max="16383" man="1"/>
  </rowBreaks>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rgb="FFFFC000"/>
    <pageSetUpPr fitToPage="1"/>
  </sheetPr>
  <dimension ref="A1:AM55"/>
  <sheetViews>
    <sheetView showGridLines="0" zoomScaleNormal="100" workbookViewId="0">
      <selection activeCell="AC3" sqref="AC3:AC4"/>
    </sheetView>
  </sheetViews>
  <sheetFormatPr baseColWidth="10" defaultColWidth="0" defaultRowHeight="12.75" zeroHeight="1" outlineLevelCol="1" x14ac:dyDescent="0.2"/>
  <cols>
    <col min="1" max="1" width="2" style="49" customWidth="1"/>
    <col min="2" max="2" width="3" style="276" customWidth="1"/>
    <col min="3" max="3" width="34.42578125" style="89" customWidth="1"/>
    <col min="4" max="19" width="9.42578125" style="97" hidden="1" customWidth="1" outlineLevel="1"/>
    <col min="20" max="20" width="10.140625" style="97" hidden="1" customWidth="1" outlineLevel="1"/>
    <col min="21" max="28" width="9.42578125" style="97" hidden="1" customWidth="1" outlineLevel="1"/>
    <col min="29" max="29" width="20" style="97" customWidth="1" collapsed="1"/>
    <col min="30" max="37" width="20" style="97" customWidth="1"/>
    <col min="38" max="38" width="1.85546875" style="49" customWidth="1"/>
    <col min="39" max="39" width="0.5703125" style="49" customWidth="1"/>
    <col min="40" max="16384" width="11.42578125" style="49" hidden="1"/>
  </cols>
  <sheetData>
    <row r="1" spans="1:38" ht="15.75" customHeight="1" thickTop="1" x14ac:dyDescent="0.2">
      <c r="A1" s="801"/>
      <c r="B1" s="802"/>
      <c r="C1" s="803"/>
      <c r="D1" s="804"/>
      <c r="E1" s="1428"/>
      <c r="F1" s="1428"/>
      <c r="G1" s="1428"/>
      <c r="H1" s="1428"/>
      <c r="I1" s="1428"/>
      <c r="J1" s="1428"/>
      <c r="K1" s="1428"/>
      <c r="L1" s="1428"/>
      <c r="M1" s="1428"/>
      <c r="N1" s="1428"/>
      <c r="O1" s="1428"/>
      <c r="P1" s="1428"/>
      <c r="Q1" s="1428"/>
      <c r="R1" s="1428"/>
      <c r="S1" s="1428"/>
      <c r="T1" s="1428"/>
      <c r="U1" s="1428"/>
      <c r="V1" s="1428"/>
      <c r="W1" s="1428"/>
      <c r="X1" s="1428"/>
      <c r="Y1" s="1428"/>
      <c r="Z1" s="1428"/>
      <c r="AA1" s="1428"/>
      <c r="AB1" s="1428"/>
      <c r="AC1" s="804"/>
      <c r="AD1" s="804"/>
      <c r="AE1" s="804"/>
      <c r="AF1" s="804"/>
      <c r="AG1" s="804"/>
      <c r="AH1" s="804"/>
      <c r="AI1" s="804"/>
      <c r="AJ1" s="804"/>
      <c r="AK1" s="804"/>
      <c r="AL1" s="805"/>
    </row>
    <row r="2" spans="1:38" ht="48" customHeight="1" thickBot="1" x14ac:dyDescent="0.25">
      <c r="A2" s="1418"/>
      <c r="B2" s="1426" t="s">
        <v>172</v>
      </c>
      <c r="C2" s="1427"/>
      <c r="D2" s="807" t="str">
        <f>Futterwerte!C6</f>
        <v>TM</v>
      </c>
      <c r="E2" s="807" t="str">
        <f>Futterwerte!D6</f>
        <v>NEL</v>
      </c>
      <c r="F2" s="807" t="str">
        <f>Futterwerte!E6</f>
        <v>ME</v>
      </c>
      <c r="G2" s="807" t="str">
        <f>Futterwerte!F6</f>
        <v>XP</v>
      </c>
      <c r="H2" s="807" t="str">
        <f>Futterwerte!G6</f>
        <v>UDP</v>
      </c>
      <c r="I2" s="807" t="str">
        <f>Futterwerte!H6</f>
        <v>nXP</v>
      </c>
      <c r="J2" s="807" t="str">
        <f>Futterwerte!I6</f>
        <v>RNB</v>
      </c>
      <c r="K2" s="808">
        <f>Futterwerte!J6</f>
        <v>0</v>
      </c>
      <c r="L2" s="807" t="str">
        <f>Futterwerte!K6</f>
        <v>ADF</v>
      </c>
      <c r="M2" s="807" t="str">
        <f>Futterwerte!L6</f>
        <v>aNDFom</v>
      </c>
      <c r="N2" s="807" t="str">
        <f>Futterwerte!M6</f>
        <v>NFC</v>
      </c>
      <c r="O2" s="807" t="str">
        <f>Futterwerte!N6</f>
        <v>XS</v>
      </c>
      <c r="P2" s="807" t="str">
        <f>Futterwerte!O6</f>
        <v>bXS</v>
      </c>
      <c r="Q2" s="807" t="str">
        <f>Futterwerte!P6</f>
        <v>XZ</v>
      </c>
      <c r="R2" s="807" t="str">
        <f>Futterwerte!Q6</f>
        <v>XS+XZ-bXS</v>
      </c>
      <c r="S2" s="807" t="str">
        <f>Futterwerte!R6</f>
        <v>XL</v>
      </c>
      <c r="T2" s="807" t="str">
        <f>Futterwerte!U6</f>
        <v>XA</v>
      </c>
      <c r="U2" s="807" t="str">
        <f>Futterwerte!V6</f>
        <v>Ca</v>
      </c>
      <c r="V2" s="807" t="str">
        <f>Futterwerte!W6</f>
        <v>P</v>
      </c>
      <c r="W2" s="807" t="str">
        <f>Futterwerte!X6</f>
        <v>Na</v>
      </c>
      <c r="X2" s="807" t="str">
        <f>Futterwerte!Y6</f>
        <v>Mg</v>
      </c>
      <c r="Y2" s="807" t="str">
        <f>Futterwerte!Z6</f>
        <v>K</v>
      </c>
      <c r="Z2" s="807" t="str">
        <f>Futterwerte!AA6</f>
        <v>Se</v>
      </c>
      <c r="AA2" s="807" t="str">
        <f>Futterwerte!AB6</f>
        <v>DCAB</v>
      </c>
      <c r="AB2" s="809" t="str">
        <f>Futterwerte!AC6</f>
        <v>Kosten</v>
      </c>
      <c r="AC2" s="346" t="s">
        <v>559</v>
      </c>
      <c r="AD2" s="346" t="s">
        <v>533</v>
      </c>
      <c r="AE2" s="346" t="s">
        <v>560</v>
      </c>
      <c r="AF2" s="346" t="s">
        <v>534</v>
      </c>
      <c r="AG2" s="346" t="s">
        <v>561</v>
      </c>
      <c r="AH2" s="346" t="s">
        <v>535</v>
      </c>
      <c r="AI2" s="346" t="s">
        <v>562</v>
      </c>
      <c r="AJ2" s="346" t="s">
        <v>536</v>
      </c>
      <c r="AK2" s="346" t="s">
        <v>558</v>
      </c>
      <c r="AL2" s="810"/>
    </row>
    <row r="3" spans="1:38" ht="18.75" customHeight="1" thickBot="1" x14ac:dyDescent="0.25">
      <c r="A3" s="1419">
        <v>50</v>
      </c>
      <c r="B3" s="274">
        <f t="shared" ref="B3:B20" si="0">INDEX(Tabelle_Konz,$A3,1)</f>
        <v>0</v>
      </c>
      <c r="C3" s="1414"/>
      <c r="D3" s="811">
        <f t="shared" ref="D3:D20" si="1">IF(INDEX(Tabelle_Konz,$A3,2)="","",INDEX(Tabelle_Konz,$A3,2)/10)</f>
        <v>0</v>
      </c>
      <c r="E3" s="812">
        <f t="shared" ref="E3:E20" si="2">INDEX(Tabelle_Konz,$A3,3)</f>
        <v>0</v>
      </c>
      <c r="F3" s="812">
        <f t="shared" ref="F3:F20" si="3">INDEX(Tabelle_Konz,$A3,4)</f>
        <v>0</v>
      </c>
      <c r="G3" s="812">
        <f t="shared" ref="G3:G20" si="4">INDEX(Tabelle_Konz,$A3,5)</f>
        <v>0</v>
      </c>
      <c r="H3" s="812">
        <f t="shared" ref="H3:H20" si="5">INDEX(Tabelle_Konz,$A3,6)</f>
        <v>0</v>
      </c>
      <c r="I3" s="812">
        <f t="shared" ref="I3:I20" si="6">INDEX(Tabelle_Konz,$A3,7)</f>
        <v>0</v>
      </c>
      <c r="J3" s="812">
        <f t="shared" ref="J3:J20" si="7">INDEX(Tabelle_Konz,$A3,8)</f>
        <v>0</v>
      </c>
      <c r="K3" s="812">
        <f t="shared" ref="K3:K20" si="8">INDEX(Tabelle_Konz,$A3,9)</f>
        <v>0</v>
      </c>
      <c r="L3" s="812">
        <f t="shared" ref="L3:L20" si="9">INDEX(Tabelle_Konz,$A3,10)</f>
        <v>0</v>
      </c>
      <c r="M3" s="812">
        <f t="shared" ref="M3:M20" si="10">INDEX(Tabelle_Konz,$A3,11)</f>
        <v>0</v>
      </c>
      <c r="N3" s="812">
        <f t="shared" ref="N3:N20" si="11">INDEX(Tabelle_Konz,$A3,12)</f>
        <v>0</v>
      </c>
      <c r="O3" s="812">
        <f t="shared" ref="O3:O20" si="12">INDEX(Tabelle_Konz,$A3,13)</f>
        <v>0</v>
      </c>
      <c r="P3" s="812">
        <f t="shared" ref="P3:P20" si="13">INDEX(Tabelle_Konz,$A3,14)</f>
        <v>0</v>
      </c>
      <c r="Q3" s="812">
        <f t="shared" ref="Q3:Q20" si="14">INDEX(Tabelle_Konz,$A3,15)</f>
        <v>0</v>
      </c>
      <c r="R3" s="812">
        <f t="shared" ref="R3:R20" si="15">INDEX(Tabelle_Konz,$A3,16)</f>
        <v>0</v>
      </c>
      <c r="S3" s="812">
        <f t="shared" ref="S3:S20" si="16">INDEX(Tabelle_Konz,$A3,17)</f>
        <v>0</v>
      </c>
      <c r="T3" s="812">
        <f t="shared" ref="T3:T20" si="17">INDEX(Tabelle_Konz,$A3,20)</f>
        <v>0</v>
      </c>
      <c r="U3" s="812">
        <f t="shared" ref="U3:U20" si="18">INDEX(Tabelle_Konz,$A3,21)</f>
        <v>0</v>
      </c>
      <c r="V3" s="812">
        <f t="shared" ref="V3:V20" si="19">INDEX(Tabelle_Konz,$A3,22)</f>
        <v>0</v>
      </c>
      <c r="W3" s="812">
        <f t="shared" ref="W3:W20" si="20">INDEX(Tabelle_Konz,$A3,23)</f>
        <v>0</v>
      </c>
      <c r="X3" s="812">
        <f t="shared" ref="X3:X20" si="21">INDEX(Tabelle_Konz,$A3,24)</f>
        <v>0</v>
      </c>
      <c r="Y3" s="812">
        <f t="shared" ref="Y3:Y20" si="22">INDEX(Tabelle_Konz,$A3,25)</f>
        <v>0</v>
      </c>
      <c r="Z3" s="812">
        <f t="shared" ref="Z3:Z20" si="23">INDEX(Tabelle_Konz,$A3,26)</f>
        <v>0</v>
      </c>
      <c r="AA3" s="812">
        <f t="shared" ref="AA3:AA20" si="24">INDEX(Tabelle_Konz,$A3,27)</f>
        <v>0</v>
      </c>
      <c r="AB3" s="813">
        <f t="shared" ref="AB3:AB20" si="25">INDEX(Tabelle_Konz,$A3,28)</f>
        <v>0</v>
      </c>
      <c r="AC3" s="96"/>
      <c r="AD3" s="96"/>
      <c r="AE3" s="96"/>
      <c r="AF3" s="96"/>
      <c r="AG3" s="96"/>
      <c r="AH3" s="96"/>
      <c r="AI3" s="96"/>
      <c r="AJ3" s="96"/>
      <c r="AK3" s="96"/>
      <c r="AL3" s="810"/>
    </row>
    <row r="4" spans="1:38" ht="18.75" customHeight="1" thickBot="1" x14ac:dyDescent="0.25">
      <c r="A4" s="1419">
        <v>80</v>
      </c>
      <c r="B4" s="275">
        <f t="shared" si="0"/>
        <v>0</v>
      </c>
      <c r="C4" s="1415"/>
      <c r="D4" s="811">
        <f t="shared" si="1"/>
        <v>0</v>
      </c>
      <c r="E4" s="812">
        <f t="shared" si="2"/>
        <v>0</v>
      </c>
      <c r="F4" s="812">
        <f t="shared" si="3"/>
        <v>0</v>
      </c>
      <c r="G4" s="812">
        <f t="shared" si="4"/>
        <v>0</v>
      </c>
      <c r="H4" s="812">
        <f t="shared" si="5"/>
        <v>0</v>
      </c>
      <c r="I4" s="812">
        <f t="shared" si="6"/>
        <v>0</v>
      </c>
      <c r="J4" s="812">
        <f t="shared" si="7"/>
        <v>0</v>
      </c>
      <c r="K4" s="812">
        <f t="shared" si="8"/>
        <v>0</v>
      </c>
      <c r="L4" s="812">
        <f t="shared" si="9"/>
        <v>0</v>
      </c>
      <c r="M4" s="812">
        <f t="shared" si="10"/>
        <v>0</v>
      </c>
      <c r="N4" s="812">
        <f t="shared" si="11"/>
        <v>0</v>
      </c>
      <c r="O4" s="812">
        <f t="shared" si="12"/>
        <v>0</v>
      </c>
      <c r="P4" s="812">
        <f t="shared" si="13"/>
        <v>0</v>
      </c>
      <c r="Q4" s="812">
        <f t="shared" si="14"/>
        <v>0</v>
      </c>
      <c r="R4" s="812">
        <f t="shared" si="15"/>
        <v>0</v>
      </c>
      <c r="S4" s="812">
        <f t="shared" si="16"/>
        <v>0</v>
      </c>
      <c r="T4" s="812">
        <f t="shared" si="17"/>
        <v>0</v>
      </c>
      <c r="U4" s="812">
        <f t="shared" si="18"/>
        <v>0</v>
      </c>
      <c r="V4" s="812">
        <f t="shared" si="19"/>
        <v>0</v>
      </c>
      <c r="W4" s="812">
        <f t="shared" si="20"/>
        <v>0</v>
      </c>
      <c r="X4" s="812">
        <f t="shared" si="21"/>
        <v>0</v>
      </c>
      <c r="Y4" s="812">
        <f t="shared" si="22"/>
        <v>0</v>
      </c>
      <c r="Z4" s="812">
        <f t="shared" si="23"/>
        <v>0</v>
      </c>
      <c r="AA4" s="812">
        <f t="shared" si="24"/>
        <v>0</v>
      </c>
      <c r="AB4" s="813">
        <f t="shared" si="25"/>
        <v>0</v>
      </c>
      <c r="AC4" s="287"/>
      <c r="AD4" s="287"/>
      <c r="AE4" s="287"/>
      <c r="AF4" s="287"/>
      <c r="AG4" s="287"/>
      <c r="AH4" s="287"/>
      <c r="AI4" s="287"/>
      <c r="AJ4" s="287"/>
      <c r="AK4" s="287"/>
      <c r="AL4" s="810"/>
    </row>
    <row r="5" spans="1:38" ht="18.75" customHeight="1" thickBot="1" x14ac:dyDescent="0.25">
      <c r="A5" s="1419">
        <v>40</v>
      </c>
      <c r="B5" s="275">
        <f t="shared" si="0"/>
        <v>0</v>
      </c>
      <c r="C5" s="1415"/>
      <c r="D5" s="811">
        <f t="shared" si="1"/>
        <v>0</v>
      </c>
      <c r="E5" s="812">
        <f t="shared" si="2"/>
        <v>1E-4</v>
      </c>
      <c r="F5" s="812">
        <f t="shared" si="3"/>
        <v>1E-4</v>
      </c>
      <c r="G5" s="812">
        <f t="shared" si="4"/>
        <v>1E-4</v>
      </c>
      <c r="H5" s="812">
        <f t="shared" si="5"/>
        <v>1E-4</v>
      </c>
      <c r="I5" s="812">
        <f t="shared" si="6"/>
        <v>1E-4</v>
      </c>
      <c r="J5" s="812">
        <f t="shared" si="7"/>
        <v>1E-4</v>
      </c>
      <c r="K5" s="812">
        <f t="shared" si="8"/>
        <v>0</v>
      </c>
      <c r="L5" s="812">
        <f t="shared" si="9"/>
        <v>1E-4</v>
      </c>
      <c r="M5" s="812">
        <f t="shared" si="10"/>
        <v>1E-4</v>
      </c>
      <c r="N5" s="812">
        <f t="shared" si="11"/>
        <v>1E-4</v>
      </c>
      <c r="O5" s="812">
        <f t="shared" si="12"/>
        <v>1E-4</v>
      </c>
      <c r="P5" s="812">
        <f t="shared" si="13"/>
        <v>1E-4</v>
      </c>
      <c r="Q5" s="812">
        <f t="shared" si="14"/>
        <v>1E-4</v>
      </c>
      <c r="R5" s="812">
        <f t="shared" si="15"/>
        <v>1E-4</v>
      </c>
      <c r="S5" s="812">
        <f t="shared" si="16"/>
        <v>1E-4</v>
      </c>
      <c r="T5" s="812">
        <f t="shared" si="17"/>
        <v>1E-4</v>
      </c>
      <c r="U5" s="812">
        <f t="shared" si="18"/>
        <v>1E-4</v>
      </c>
      <c r="V5" s="812">
        <f t="shared" si="19"/>
        <v>1E-4</v>
      </c>
      <c r="W5" s="812">
        <f t="shared" si="20"/>
        <v>1E-4</v>
      </c>
      <c r="X5" s="812">
        <f t="shared" si="21"/>
        <v>1E-4</v>
      </c>
      <c r="Y5" s="812">
        <f t="shared" si="22"/>
        <v>1E-4</v>
      </c>
      <c r="Z5" s="812">
        <f t="shared" si="23"/>
        <v>1E-4</v>
      </c>
      <c r="AA5" s="812">
        <f t="shared" si="24"/>
        <v>0</v>
      </c>
      <c r="AB5" s="813">
        <f t="shared" si="25"/>
        <v>0</v>
      </c>
      <c r="AC5" s="287"/>
      <c r="AD5" s="287"/>
      <c r="AE5" s="287"/>
      <c r="AF5" s="287"/>
      <c r="AG5" s="287"/>
      <c r="AH5" s="287"/>
      <c r="AI5" s="287"/>
      <c r="AJ5" s="287"/>
      <c r="AK5" s="287"/>
      <c r="AL5" s="810"/>
    </row>
    <row r="6" spans="1:38" ht="18.75" customHeight="1" thickBot="1" x14ac:dyDescent="0.25">
      <c r="A6" s="1419">
        <v>63</v>
      </c>
      <c r="B6" s="275">
        <f t="shared" si="0"/>
        <v>0</v>
      </c>
      <c r="C6" s="1415"/>
      <c r="D6" s="811">
        <f t="shared" si="1"/>
        <v>0</v>
      </c>
      <c r="E6" s="812">
        <f t="shared" si="2"/>
        <v>1E-4</v>
      </c>
      <c r="F6" s="812">
        <f t="shared" si="3"/>
        <v>1E-4</v>
      </c>
      <c r="G6" s="812">
        <f t="shared" si="4"/>
        <v>1E-4</v>
      </c>
      <c r="H6" s="812">
        <f t="shared" si="5"/>
        <v>1E-4</v>
      </c>
      <c r="I6" s="812">
        <f t="shared" si="6"/>
        <v>1E-4</v>
      </c>
      <c r="J6" s="812">
        <f t="shared" si="7"/>
        <v>1E-4</v>
      </c>
      <c r="K6" s="812">
        <f t="shared" si="8"/>
        <v>1E-4</v>
      </c>
      <c r="L6" s="812">
        <f t="shared" si="9"/>
        <v>1E-4</v>
      </c>
      <c r="M6" s="812">
        <f t="shared" si="10"/>
        <v>1E-4</v>
      </c>
      <c r="N6" s="812">
        <f t="shared" si="11"/>
        <v>1E-4</v>
      </c>
      <c r="O6" s="812">
        <f t="shared" si="12"/>
        <v>1E-4</v>
      </c>
      <c r="P6" s="812">
        <f t="shared" si="13"/>
        <v>1E-4</v>
      </c>
      <c r="Q6" s="812">
        <f t="shared" si="14"/>
        <v>1E-4</v>
      </c>
      <c r="R6" s="812">
        <f t="shared" si="15"/>
        <v>1E-4</v>
      </c>
      <c r="S6" s="812">
        <f t="shared" si="16"/>
        <v>1E-4</v>
      </c>
      <c r="T6" s="812">
        <f t="shared" si="17"/>
        <v>1E-4</v>
      </c>
      <c r="U6" s="812">
        <f t="shared" si="18"/>
        <v>1E-4</v>
      </c>
      <c r="V6" s="812">
        <f t="shared" si="19"/>
        <v>1E-4</v>
      </c>
      <c r="W6" s="812">
        <f t="shared" si="20"/>
        <v>1E-4</v>
      </c>
      <c r="X6" s="812">
        <f t="shared" si="21"/>
        <v>1E-4</v>
      </c>
      <c r="Y6" s="812">
        <f t="shared" si="22"/>
        <v>1E-4</v>
      </c>
      <c r="Z6" s="812">
        <f t="shared" si="23"/>
        <v>1E-4</v>
      </c>
      <c r="AA6" s="812">
        <f t="shared" si="24"/>
        <v>0</v>
      </c>
      <c r="AB6" s="813">
        <f t="shared" si="25"/>
        <v>0</v>
      </c>
      <c r="AC6" s="287"/>
      <c r="AD6" s="287"/>
      <c r="AE6" s="287"/>
      <c r="AF6" s="287"/>
      <c r="AG6" s="287"/>
      <c r="AH6" s="287"/>
      <c r="AI6" s="287"/>
      <c r="AJ6" s="287"/>
      <c r="AK6" s="287"/>
      <c r="AL6" s="810"/>
    </row>
    <row r="7" spans="1:38" ht="18.75" customHeight="1" thickBot="1" x14ac:dyDescent="0.25">
      <c r="A7" s="1419">
        <v>63</v>
      </c>
      <c r="B7" s="275">
        <f t="shared" si="0"/>
        <v>0</v>
      </c>
      <c r="C7" s="1415"/>
      <c r="D7" s="811">
        <f t="shared" si="1"/>
        <v>0</v>
      </c>
      <c r="E7" s="812">
        <f t="shared" si="2"/>
        <v>1E-4</v>
      </c>
      <c r="F7" s="812">
        <f t="shared" si="3"/>
        <v>1E-4</v>
      </c>
      <c r="G7" s="812">
        <f t="shared" si="4"/>
        <v>1E-4</v>
      </c>
      <c r="H7" s="812">
        <f t="shared" si="5"/>
        <v>1E-4</v>
      </c>
      <c r="I7" s="812">
        <f t="shared" si="6"/>
        <v>1E-4</v>
      </c>
      <c r="J7" s="812">
        <f t="shared" si="7"/>
        <v>1E-4</v>
      </c>
      <c r="K7" s="812">
        <f t="shared" si="8"/>
        <v>1E-4</v>
      </c>
      <c r="L7" s="812">
        <f t="shared" si="9"/>
        <v>1E-4</v>
      </c>
      <c r="M7" s="812">
        <f t="shared" si="10"/>
        <v>1E-4</v>
      </c>
      <c r="N7" s="812">
        <f t="shared" si="11"/>
        <v>1E-4</v>
      </c>
      <c r="O7" s="812">
        <f t="shared" si="12"/>
        <v>1E-4</v>
      </c>
      <c r="P7" s="812">
        <f t="shared" si="13"/>
        <v>1E-4</v>
      </c>
      <c r="Q7" s="812">
        <f t="shared" si="14"/>
        <v>1E-4</v>
      </c>
      <c r="R7" s="812">
        <f t="shared" si="15"/>
        <v>1E-4</v>
      </c>
      <c r="S7" s="812">
        <f t="shared" si="16"/>
        <v>1E-4</v>
      </c>
      <c r="T7" s="812">
        <f t="shared" si="17"/>
        <v>1E-4</v>
      </c>
      <c r="U7" s="812">
        <f t="shared" si="18"/>
        <v>1E-4</v>
      </c>
      <c r="V7" s="812">
        <f t="shared" si="19"/>
        <v>1E-4</v>
      </c>
      <c r="W7" s="812">
        <f t="shared" si="20"/>
        <v>1E-4</v>
      </c>
      <c r="X7" s="812">
        <f t="shared" si="21"/>
        <v>1E-4</v>
      </c>
      <c r="Y7" s="812">
        <f t="shared" si="22"/>
        <v>1E-4</v>
      </c>
      <c r="Z7" s="812">
        <f t="shared" si="23"/>
        <v>1E-4</v>
      </c>
      <c r="AA7" s="812">
        <f t="shared" si="24"/>
        <v>0</v>
      </c>
      <c r="AB7" s="813">
        <f t="shared" si="25"/>
        <v>0</v>
      </c>
      <c r="AC7" s="287"/>
      <c r="AD7" s="287"/>
      <c r="AE7" s="287"/>
      <c r="AF7" s="287"/>
      <c r="AG7" s="287"/>
      <c r="AH7" s="287"/>
      <c r="AI7" s="287"/>
      <c r="AJ7" s="287"/>
      <c r="AK7" s="287"/>
      <c r="AL7" s="810"/>
    </row>
    <row r="8" spans="1:38" ht="18.75" customHeight="1" thickBot="1" x14ac:dyDescent="0.25">
      <c r="A8" s="1419">
        <v>40</v>
      </c>
      <c r="B8" s="275">
        <f t="shared" si="0"/>
        <v>0</v>
      </c>
      <c r="C8" s="1415"/>
      <c r="D8" s="811">
        <f t="shared" si="1"/>
        <v>0</v>
      </c>
      <c r="E8" s="812">
        <f t="shared" si="2"/>
        <v>1E-4</v>
      </c>
      <c r="F8" s="812">
        <f t="shared" si="3"/>
        <v>1E-4</v>
      </c>
      <c r="G8" s="812">
        <f t="shared" si="4"/>
        <v>1E-4</v>
      </c>
      <c r="H8" s="812">
        <f t="shared" si="5"/>
        <v>1E-4</v>
      </c>
      <c r="I8" s="812">
        <f t="shared" si="6"/>
        <v>1E-4</v>
      </c>
      <c r="J8" s="812">
        <f t="shared" si="7"/>
        <v>1E-4</v>
      </c>
      <c r="K8" s="812">
        <f t="shared" si="8"/>
        <v>0</v>
      </c>
      <c r="L8" s="812">
        <f t="shared" si="9"/>
        <v>1E-4</v>
      </c>
      <c r="M8" s="812">
        <f t="shared" si="10"/>
        <v>1E-4</v>
      </c>
      <c r="N8" s="812">
        <f t="shared" si="11"/>
        <v>1E-4</v>
      </c>
      <c r="O8" s="812">
        <f t="shared" si="12"/>
        <v>1E-4</v>
      </c>
      <c r="P8" s="812">
        <f t="shared" si="13"/>
        <v>1E-4</v>
      </c>
      <c r="Q8" s="812">
        <f t="shared" si="14"/>
        <v>1E-4</v>
      </c>
      <c r="R8" s="812">
        <f t="shared" si="15"/>
        <v>1E-4</v>
      </c>
      <c r="S8" s="812">
        <f t="shared" si="16"/>
        <v>1E-4</v>
      </c>
      <c r="T8" s="812">
        <f t="shared" si="17"/>
        <v>1E-4</v>
      </c>
      <c r="U8" s="812">
        <f t="shared" si="18"/>
        <v>1E-4</v>
      </c>
      <c r="V8" s="812">
        <f t="shared" si="19"/>
        <v>1E-4</v>
      </c>
      <c r="W8" s="812">
        <f t="shared" si="20"/>
        <v>1E-4</v>
      </c>
      <c r="X8" s="812">
        <f t="shared" si="21"/>
        <v>1E-4</v>
      </c>
      <c r="Y8" s="812">
        <f t="shared" si="22"/>
        <v>1E-4</v>
      </c>
      <c r="Z8" s="812">
        <f t="shared" si="23"/>
        <v>1E-4</v>
      </c>
      <c r="AA8" s="812">
        <f t="shared" si="24"/>
        <v>0</v>
      </c>
      <c r="AB8" s="813">
        <f t="shared" si="25"/>
        <v>0</v>
      </c>
      <c r="AC8" s="287"/>
      <c r="AD8" s="287"/>
      <c r="AE8" s="287"/>
      <c r="AF8" s="287"/>
      <c r="AG8" s="287"/>
      <c r="AH8" s="287"/>
      <c r="AI8" s="287"/>
      <c r="AJ8" s="287"/>
      <c r="AK8" s="287"/>
      <c r="AL8" s="810"/>
    </row>
    <row r="9" spans="1:38" ht="18.75" customHeight="1" thickBot="1" x14ac:dyDescent="0.25">
      <c r="A9" s="1419">
        <v>62</v>
      </c>
      <c r="B9" s="275">
        <f t="shared" si="0"/>
        <v>0</v>
      </c>
      <c r="C9" s="1415"/>
      <c r="D9" s="811">
        <f t="shared" si="1"/>
        <v>0</v>
      </c>
      <c r="E9" s="812">
        <f t="shared" si="2"/>
        <v>0</v>
      </c>
      <c r="F9" s="812">
        <f t="shared" si="3"/>
        <v>0</v>
      </c>
      <c r="G9" s="812">
        <f t="shared" si="4"/>
        <v>0</v>
      </c>
      <c r="H9" s="812">
        <f t="shared" si="5"/>
        <v>0</v>
      </c>
      <c r="I9" s="812">
        <f t="shared" si="6"/>
        <v>0</v>
      </c>
      <c r="J9" s="812">
        <f t="shared" si="7"/>
        <v>0</v>
      </c>
      <c r="K9" s="812">
        <f t="shared" si="8"/>
        <v>0</v>
      </c>
      <c r="L9" s="812">
        <f t="shared" si="9"/>
        <v>0</v>
      </c>
      <c r="M9" s="812">
        <f t="shared" si="10"/>
        <v>0</v>
      </c>
      <c r="N9" s="812">
        <f t="shared" si="11"/>
        <v>0</v>
      </c>
      <c r="O9" s="812">
        <f t="shared" si="12"/>
        <v>0</v>
      </c>
      <c r="P9" s="812">
        <f t="shared" si="13"/>
        <v>0</v>
      </c>
      <c r="Q9" s="812">
        <f t="shared" si="14"/>
        <v>0</v>
      </c>
      <c r="R9" s="812">
        <f t="shared" si="15"/>
        <v>0</v>
      </c>
      <c r="S9" s="812">
        <f t="shared" si="16"/>
        <v>0</v>
      </c>
      <c r="T9" s="812">
        <f t="shared" si="17"/>
        <v>0</v>
      </c>
      <c r="U9" s="812">
        <f t="shared" si="18"/>
        <v>0</v>
      </c>
      <c r="V9" s="812">
        <f t="shared" si="19"/>
        <v>0</v>
      </c>
      <c r="W9" s="812">
        <f t="shared" si="20"/>
        <v>0</v>
      </c>
      <c r="X9" s="812">
        <f t="shared" si="21"/>
        <v>0</v>
      </c>
      <c r="Y9" s="812">
        <f t="shared" si="22"/>
        <v>0</v>
      </c>
      <c r="Z9" s="812">
        <f t="shared" si="23"/>
        <v>0</v>
      </c>
      <c r="AA9" s="812">
        <f t="shared" si="24"/>
        <v>0</v>
      </c>
      <c r="AB9" s="813">
        <f t="shared" si="25"/>
        <v>0</v>
      </c>
      <c r="AC9" s="287"/>
      <c r="AD9" s="287"/>
      <c r="AE9" s="287"/>
      <c r="AF9" s="287"/>
      <c r="AG9" s="287"/>
      <c r="AH9" s="287"/>
      <c r="AI9" s="287"/>
      <c r="AJ9" s="287"/>
      <c r="AK9" s="287"/>
      <c r="AL9" s="810"/>
    </row>
    <row r="10" spans="1:38" ht="18.75" customHeight="1" thickBot="1" x14ac:dyDescent="0.25">
      <c r="A10" s="1419">
        <v>61</v>
      </c>
      <c r="B10" s="275">
        <f t="shared" si="0"/>
        <v>0</v>
      </c>
      <c r="C10" s="1415"/>
      <c r="D10" s="811">
        <f t="shared" si="1"/>
        <v>0</v>
      </c>
      <c r="E10" s="812">
        <f t="shared" si="2"/>
        <v>0</v>
      </c>
      <c r="F10" s="812">
        <f t="shared" si="3"/>
        <v>0</v>
      </c>
      <c r="G10" s="812">
        <f t="shared" si="4"/>
        <v>0</v>
      </c>
      <c r="H10" s="812">
        <f t="shared" si="5"/>
        <v>0</v>
      </c>
      <c r="I10" s="812">
        <f t="shared" si="6"/>
        <v>0</v>
      </c>
      <c r="J10" s="812">
        <f t="shared" si="7"/>
        <v>0</v>
      </c>
      <c r="K10" s="812">
        <f t="shared" si="8"/>
        <v>0</v>
      </c>
      <c r="L10" s="812">
        <f t="shared" si="9"/>
        <v>0</v>
      </c>
      <c r="M10" s="812">
        <f t="shared" si="10"/>
        <v>0</v>
      </c>
      <c r="N10" s="812">
        <f t="shared" si="11"/>
        <v>0</v>
      </c>
      <c r="O10" s="812">
        <f t="shared" si="12"/>
        <v>0</v>
      </c>
      <c r="P10" s="812">
        <f t="shared" si="13"/>
        <v>0</v>
      </c>
      <c r="Q10" s="812">
        <f t="shared" si="14"/>
        <v>0</v>
      </c>
      <c r="R10" s="812">
        <f t="shared" si="15"/>
        <v>0</v>
      </c>
      <c r="S10" s="812">
        <f t="shared" si="16"/>
        <v>0</v>
      </c>
      <c r="T10" s="812">
        <f t="shared" si="17"/>
        <v>0</v>
      </c>
      <c r="U10" s="812">
        <f t="shared" si="18"/>
        <v>0</v>
      </c>
      <c r="V10" s="812">
        <f t="shared" si="19"/>
        <v>0</v>
      </c>
      <c r="W10" s="812">
        <f t="shared" si="20"/>
        <v>0</v>
      </c>
      <c r="X10" s="812">
        <f t="shared" si="21"/>
        <v>0</v>
      </c>
      <c r="Y10" s="812">
        <f t="shared" si="22"/>
        <v>0</v>
      </c>
      <c r="Z10" s="812">
        <f t="shared" si="23"/>
        <v>0</v>
      </c>
      <c r="AA10" s="812">
        <f t="shared" si="24"/>
        <v>0</v>
      </c>
      <c r="AB10" s="813">
        <f t="shared" si="25"/>
        <v>0</v>
      </c>
      <c r="AC10" s="287"/>
      <c r="AD10" s="287"/>
      <c r="AE10" s="287"/>
      <c r="AF10" s="287"/>
      <c r="AG10" s="287"/>
      <c r="AH10" s="287"/>
      <c r="AI10" s="287"/>
      <c r="AJ10" s="287"/>
      <c r="AK10" s="287"/>
      <c r="AL10" s="810"/>
    </row>
    <row r="11" spans="1:38" ht="18.75" customHeight="1" thickBot="1" x14ac:dyDescent="0.25">
      <c r="A11" s="1419">
        <v>63</v>
      </c>
      <c r="B11" s="275">
        <f t="shared" si="0"/>
        <v>0</v>
      </c>
      <c r="C11" s="1415"/>
      <c r="D11" s="811">
        <f t="shared" si="1"/>
        <v>0</v>
      </c>
      <c r="E11" s="812">
        <f t="shared" si="2"/>
        <v>1E-4</v>
      </c>
      <c r="F11" s="812">
        <f t="shared" si="3"/>
        <v>1E-4</v>
      </c>
      <c r="G11" s="812">
        <f t="shared" si="4"/>
        <v>1E-4</v>
      </c>
      <c r="H11" s="812">
        <f t="shared" si="5"/>
        <v>1E-4</v>
      </c>
      <c r="I11" s="812">
        <f t="shared" si="6"/>
        <v>1E-4</v>
      </c>
      <c r="J11" s="812">
        <f t="shared" si="7"/>
        <v>1E-4</v>
      </c>
      <c r="K11" s="812">
        <f t="shared" si="8"/>
        <v>1E-4</v>
      </c>
      <c r="L11" s="812">
        <f t="shared" si="9"/>
        <v>1E-4</v>
      </c>
      <c r="M11" s="812">
        <f t="shared" si="10"/>
        <v>1E-4</v>
      </c>
      <c r="N11" s="812">
        <f t="shared" si="11"/>
        <v>1E-4</v>
      </c>
      <c r="O11" s="812">
        <f t="shared" si="12"/>
        <v>1E-4</v>
      </c>
      <c r="P11" s="812">
        <f t="shared" si="13"/>
        <v>1E-4</v>
      </c>
      <c r="Q11" s="812">
        <f t="shared" si="14"/>
        <v>1E-4</v>
      </c>
      <c r="R11" s="812">
        <f t="shared" si="15"/>
        <v>1E-4</v>
      </c>
      <c r="S11" s="812">
        <f t="shared" si="16"/>
        <v>1E-4</v>
      </c>
      <c r="T11" s="812">
        <f t="shared" si="17"/>
        <v>1E-4</v>
      </c>
      <c r="U11" s="812">
        <f t="shared" si="18"/>
        <v>1E-4</v>
      </c>
      <c r="V11" s="812">
        <f t="shared" si="19"/>
        <v>1E-4</v>
      </c>
      <c r="W11" s="812">
        <f t="shared" si="20"/>
        <v>1E-4</v>
      </c>
      <c r="X11" s="812">
        <f t="shared" si="21"/>
        <v>1E-4</v>
      </c>
      <c r="Y11" s="812">
        <f t="shared" si="22"/>
        <v>1E-4</v>
      </c>
      <c r="Z11" s="812">
        <f t="shared" si="23"/>
        <v>1E-4</v>
      </c>
      <c r="AA11" s="812">
        <f t="shared" si="24"/>
        <v>0</v>
      </c>
      <c r="AB11" s="813">
        <f t="shared" si="25"/>
        <v>0</v>
      </c>
      <c r="AC11" s="287"/>
      <c r="AD11" s="287"/>
      <c r="AE11" s="287"/>
      <c r="AF11" s="287"/>
      <c r="AG11" s="287"/>
      <c r="AH11" s="287"/>
      <c r="AI11" s="287"/>
      <c r="AJ11" s="287"/>
      <c r="AK11" s="287"/>
      <c r="AL11" s="810"/>
    </row>
    <row r="12" spans="1:38" ht="18.75" customHeight="1" thickBot="1" x14ac:dyDescent="0.25">
      <c r="A12" s="1419">
        <v>63</v>
      </c>
      <c r="B12" s="275">
        <f t="shared" si="0"/>
        <v>0</v>
      </c>
      <c r="C12" s="1415"/>
      <c r="D12" s="811">
        <f t="shared" si="1"/>
        <v>0</v>
      </c>
      <c r="E12" s="812">
        <f t="shared" si="2"/>
        <v>1E-4</v>
      </c>
      <c r="F12" s="812">
        <f t="shared" si="3"/>
        <v>1E-4</v>
      </c>
      <c r="G12" s="812">
        <f t="shared" si="4"/>
        <v>1E-4</v>
      </c>
      <c r="H12" s="812">
        <f t="shared" si="5"/>
        <v>1E-4</v>
      </c>
      <c r="I12" s="812">
        <f t="shared" si="6"/>
        <v>1E-4</v>
      </c>
      <c r="J12" s="812">
        <f t="shared" si="7"/>
        <v>1E-4</v>
      </c>
      <c r="K12" s="812">
        <f t="shared" si="8"/>
        <v>1E-4</v>
      </c>
      <c r="L12" s="812">
        <f t="shared" si="9"/>
        <v>1E-4</v>
      </c>
      <c r="M12" s="812">
        <f t="shared" si="10"/>
        <v>1E-4</v>
      </c>
      <c r="N12" s="812">
        <f t="shared" si="11"/>
        <v>1E-4</v>
      </c>
      <c r="O12" s="812">
        <f t="shared" si="12"/>
        <v>1E-4</v>
      </c>
      <c r="P12" s="812">
        <f t="shared" si="13"/>
        <v>1E-4</v>
      </c>
      <c r="Q12" s="812">
        <f t="shared" si="14"/>
        <v>1E-4</v>
      </c>
      <c r="R12" s="812">
        <f t="shared" si="15"/>
        <v>1E-4</v>
      </c>
      <c r="S12" s="812">
        <f t="shared" si="16"/>
        <v>1E-4</v>
      </c>
      <c r="T12" s="812">
        <f t="shared" si="17"/>
        <v>1E-4</v>
      </c>
      <c r="U12" s="812">
        <f t="shared" si="18"/>
        <v>1E-4</v>
      </c>
      <c r="V12" s="812">
        <f t="shared" si="19"/>
        <v>1E-4</v>
      </c>
      <c r="W12" s="812">
        <f t="shared" si="20"/>
        <v>1E-4</v>
      </c>
      <c r="X12" s="812">
        <f t="shared" si="21"/>
        <v>1E-4</v>
      </c>
      <c r="Y12" s="812">
        <f t="shared" si="22"/>
        <v>1E-4</v>
      </c>
      <c r="Z12" s="812">
        <f t="shared" si="23"/>
        <v>1E-4</v>
      </c>
      <c r="AA12" s="812">
        <f t="shared" si="24"/>
        <v>0</v>
      </c>
      <c r="AB12" s="813">
        <f t="shared" si="25"/>
        <v>0</v>
      </c>
      <c r="AC12" s="287"/>
      <c r="AD12" s="287"/>
      <c r="AE12" s="287"/>
      <c r="AF12" s="287"/>
      <c r="AG12" s="287"/>
      <c r="AH12" s="287"/>
      <c r="AI12" s="287"/>
      <c r="AJ12" s="287"/>
      <c r="AK12" s="287"/>
      <c r="AL12" s="810"/>
    </row>
    <row r="13" spans="1:38" ht="18.75" customHeight="1" thickBot="1" x14ac:dyDescent="0.25">
      <c r="A13" s="1419">
        <v>63</v>
      </c>
      <c r="B13" s="275">
        <f t="shared" si="0"/>
        <v>0</v>
      </c>
      <c r="C13" s="1415"/>
      <c r="D13" s="811">
        <f t="shared" si="1"/>
        <v>0</v>
      </c>
      <c r="E13" s="812">
        <f t="shared" si="2"/>
        <v>1E-4</v>
      </c>
      <c r="F13" s="812">
        <f t="shared" si="3"/>
        <v>1E-4</v>
      </c>
      <c r="G13" s="812">
        <f t="shared" si="4"/>
        <v>1E-4</v>
      </c>
      <c r="H13" s="812">
        <f t="shared" si="5"/>
        <v>1E-4</v>
      </c>
      <c r="I13" s="812">
        <f t="shared" si="6"/>
        <v>1E-4</v>
      </c>
      <c r="J13" s="812">
        <f t="shared" si="7"/>
        <v>1E-4</v>
      </c>
      <c r="K13" s="812">
        <f t="shared" si="8"/>
        <v>1E-4</v>
      </c>
      <c r="L13" s="812">
        <f t="shared" si="9"/>
        <v>1E-4</v>
      </c>
      <c r="M13" s="812">
        <f t="shared" si="10"/>
        <v>1E-4</v>
      </c>
      <c r="N13" s="812">
        <f t="shared" si="11"/>
        <v>1E-4</v>
      </c>
      <c r="O13" s="812">
        <f t="shared" si="12"/>
        <v>1E-4</v>
      </c>
      <c r="P13" s="812">
        <f t="shared" si="13"/>
        <v>1E-4</v>
      </c>
      <c r="Q13" s="812">
        <f t="shared" si="14"/>
        <v>1E-4</v>
      </c>
      <c r="R13" s="812">
        <f t="shared" si="15"/>
        <v>1E-4</v>
      </c>
      <c r="S13" s="812">
        <f t="shared" si="16"/>
        <v>1E-4</v>
      </c>
      <c r="T13" s="812">
        <f t="shared" si="17"/>
        <v>1E-4</v>
      </c>
      <c r="U13" s="812">
        <f t="shared" si="18"/>
        <v>1E-4</v>
      </c>
      <c r="V13" s="812">
        <f t="shared" si="19"/>
        <v>1E-4</v>
      </c>
      <c r="W13" s="812">
        <f t="shared" si="20"/>
        <v>1E-4</v>
      </c>
      <c r="X13" s="812">
        <f t="shared" si="21"/>
        <v>1E-4</v>
      </c>
      <c r="Y13" s="812">
        <f t="shared" si="22"/>
        <v>1E-4</v>
      </c>
      <c r="Z13" s="812">
        <f t="shared" si="23"/>
        <v>1E-4</v>
      </c>
      <c r="AA13" s="812">
        <f t="shared" si="24"/>
        <v>0</v>
      </c>
      <c r="AB13" s="813">
        <f t="shared" si="25"/>
        <v>0</v>
      </c>
      <c r="AC13" s="287"/>
      <c r="AD13" s="287"/>
      <c r="AE13" s="287"/>
      <c r="AF13" s="287"/>
      <c r="AG13" s="287"/>
      <c r="AH13" s="287"/>
      <c r="AI13" s="287"/>
      <c r="AJ13" s="287"/>
      <c r="AK13" s="287"/>
      <c r="AL13" s="810"/>
    </row>
    <row r="14" spans="1:38" ht="18.75" customHeight="1" thickBot="1" x14ac:dyDescent="0.25">
      <c r="A14" s="1419">
        <v>63</v>
      </c>
      <c r="B14" s="275">
        <f t="shared" si="0"/>
        <v>0</v>
      </c>
      <c r="C14" s="1415"/>
      <c r="D14" s="811">
        <f t="shared" si="1"/>
        <v>0</v>
      </c>
      <c r="E14" s="812">
        <f t="shared" si="2"/>
        <v>1E-4</v>
      </c>
      <c r="F14" s="812">
        <f t="shared" si="3"/>
        <v>1E-4</v>
      </c>
      <c r="G14" s="812">
        <f t="shared" si="4"/>
        <v>1E-4</v>
      </c>
      <c r="H14" s="812">
        <f t="shared" si="5"/>
        <v>1E-4</v>
      </c>
      <c r="I14" s="812">
        <f t="shared" si="6"/>
        <v>1E-4</v>
      </c>
      <c r="J14" s="812">
        <f t="shared" si="7"/>
        <v>1E-4</v>
      </c>
      <c r="K14" s="812">
        <f t="shared" si="8"/>
        <v>1E-4</v>
      </c>
      <c r="L14" s="812">
        <f t="shared" si="9"/>
        <v>1E-4</v>
      </c>
      <c r="M14" s="812">
        <f t="shared" si="10"/>
        <v>1E-4</v>
      </c>
      <c r="N14" s="812">
        <f t="shared" si="11"/>
        <v>1E-4</v>
      </c>
      <c r="O14" s="812">
        <f t="shared" si="12"/>
        <v>1E-4</v>
      </c>
      <c r="P14" s="812">
        <f t="shared" si="13"/>
        <v>1E-4</v>
      </c>
      <c r="Q14" s="812">
        <f t="shared" si="14"/>
        <v>1E-4</v>
      </c>
      <c r="R14" s="812">
        <f t="shared" si="15"/>
        <v>1E-4</v>
      </c>
      <c r="S14" s="812">
        <f t="shared" si="16"/>
        <v>1E-4</v>
      </c>
      <c r="T14" s="812">
        <f t="shared" si="17"/>
        <v>1E-4</v>
      </c>
      <c r="U14" s="812">
        <f t="shared" si="18"/>
        <v>1E-4</v>
      </c>
      <c r="V14" s="812">
        <f t="shared" si="19"/>
        <v>1E-4</v>
      </c>
      <c r="W14" s="812">
        <f t="shared" si="20"/>
        <v>1E-4</v>
      </c>
      <c r="X14" s="812">
        <f t="shared" si="21"/>
        <v>1E-4</v>
      </c>
      <c r="Y14" s="812">
        <f t="shared" si="22"/>
        <v>1E-4</v>
      </c>
      <c r="Z14" s="812">
        <f t="shared" si="23"/>
        <v>1E-4</v>
      </c>
      <c r="AA14" s="812">
        <f t="shared" si="24"/>
        <v>0</v>
      </c>
      <c r="AB14" s="813">
        <f t="shared" si="25"/>
        <v>0</v>
      </c>
      <c r="AC14" s="287"/>
      <c r="AD14" s="287"/>
      <c r="AE14" s="287"/>
      <c r="AF14" s="287"/>
      <c r="AG14" s="287"/>
      <c r="AH14" s="287"/>
      <c r="AI14" s="287"/>
      <c r="AJ14" s="287"/>
      <c r="AK14" s="287"/>
      <c r="AL14" s="810"/>
    </row>
    <row r="15" spans="1:38" ht="18.75" customHeight="1" thickBot="1" x14ac:dyDescent="0.25">
      <c r="A15" s="1419">
        <v>79</v>
      </c>
      <c r="B15" s="275">
        <f t="shared" si="0"/>
        <v>0</v>
      </c>
      <c r="C15" s="1415"/>
      <c r="D15" s="811">
        <f t="shared" si="1"/>
        <v>0</v>
      </c>
      <c r="E15" s="812">
        <f t="shared" si="2"/>
        <v>0</v>
      </c>
      <c r="F15" s="812">
        <f t="shared" si="3"/>
        <v>0</v>
      </c>
      <c r="G15" s="812">
        <f t="shared" si="4"/>
        <v>0</v>
      </c>
      <c r="H15" s="812">
        <f t="shared" si="5"/>
        <v>0</v>
      </c>
      <c r="I15" s="812">
        <f t="shared" si="6"/>
        <v>0</v>
      </c>
      <c r="J15" s="812">
        <f t="shared" si="7"/>
        <v>0</v>
      </c>
      <c r="K15" s="812">
        <f t="shared" si="8"/>
        <v>0</v>
      </c>
      <c r="L15" s="812">
        <f t="shared" si="9"/>
        <v>0</v>
      </c>
      <c r="M15" s="812">
        <f t="shared" si="10"/>
        <v>0</v>
      </c>
      <c r="N15" s="812">
        <f t="shared" si="11"/>
        <v>0</v>
      </c>
      <c r="O15" s="812">
        <f t="shared" si="12"/>
        <v>0</v>
      </c>
      <c r="P15" s="812">
        <f t="shared" si="13"/>
        <v>0</v>
      </c>
      <c r="Q15" s="812">
        <f t="shared" si="14"/>
        <v>0</v>
      </c>
      <c r="R15" s="812">
        <f t="shared" si="15"/>
        <v>0</v>
      </c>
      <c r="S15" s="812">
        <f t="shared" si="16"/>
        <v>0</v>
      </c>
      <c r="T15" s="812">
        <f t="shared" si="17"/>
        <v>0</v>
      </c>
      <c r="U15" s="812">
        <f t="shared" si="18"/>
        <v>0</v>
      </c>
      <c r="V15" s="812">
        <f t="shared" si="19"/>
        <v>0</v>
      </c>
      <c r="W15" s="812">
        <f t="shared" si="20"/>
        <v>0</v>
      </c>
      <c r="X15" s="812">
        <f t="shared" si="21"/>
        <v>0</v>
      </c>
      <c r="Y15" s="812">
        <f t="shared" si="22"/>
        <v>0</v>
      </c>
      <c r="Z15" s="812">
        <f t="shared" si="23"/>
        <v>0</v>
      </c>
      <c r="AA15" s="812">
        <f t="shared" si="24"/>
        <v>0</v>
      </c>
      <c r="AB15" s="813">
        <f t="shared" si="25"/>
        <v>0</v>
      </c>
      <c r="AC15" s="287"/>
      <c r="AD15" s="287"/>
      <c r="AE15" s="287"/>
      <c r="AF15" s="287"/>
      <c r="AG15" s="287"/>
      <c r="AH15" s="287"/>
      <c r="AI15" s="287"/>
      <c r="AJ15" s="287"/>
      <c r="AK15" s="287"/>
      <c r="AL15" s="810"/>
    </row>
    <row r="16" spans="1:38" ht="18.75" customHeight="1" thickBot="1" x14ac:dyDescent="0.25">
      <c r="A16" s="1419">
        <v>79</v>
      </c>
      <c r="B16" s="275">
        <f t="shared" si="0"/>
        <v>0</v>
      </c>
      <c r="C16" s="1415"/>
      <c r="D16" s="811">
        <f t="shared" si="1"/>
        <v>0</v>
      </c>
      <c r="E16" s="812">
        <f t="shared" si="2"/>
        <v>0</v>
      </c>
      <c r="F16" s="812">
        <f t="shared" si="3"/>
        <v>0</v>
      </c>
      <c r="G16" s="812">
        <f t="shared" si="4"/>
        <v>0</v>
      </c>
      <c r="H16" s="812">
        <f t="shared" si="5"/>
        <v>0</v>
      </c>
      <c r="I16" s="812">
        <f t="shared" si="6"/>
        <v>0</v>
      </c>
      <c r="J16" s="812">
        <f t="shared" si="7"/>
        <v>0</v>
      </c>
      <c r="K16" s="812">
        <f t="shared" si="8"/>
        <v>0</v>
      </c>
      <c r="L16" s="812">
        <f t="shared" si="9"/>
        <v>0</v>
      </c>
      <c r="M16" s="812">
        <f t="shared" si="10"/>
        <v>0</v>
      </c>
      <c r="N16" s="812">
        <f t="shared" si="11"/>
        <v>0</v>
      </c>
      <c r="O16" s="812">
        <f t="shared" si="12"/>
        <v>0</v>
      </c>
      <c r="P16" s="812">
        <f t="shared" si="13"/>
        <v>0</v>
      </c>
      <c r="Q16" s="812">
        <f t="shared" si="14"/>
        <v>0</v>
      </c>
      <c r="R16" s="812">
        <f t="shared" si="15"/>
        <v>0</v>
      </c>
      <c r="S16" s="812">
        <f t="shared" si="16"/>
        <v>0</v>
      </c>
      <c r="T16" s="812">
        <f t="shared" si="17"/>
        <v>0</v>
      </c>
      <c r="U16" s="812">
        <f t="shared" si="18"/>
        <v>0</v>
      </c>
      <c r="V16" s="812">
        <f t="shared" si="19"/>
        <v>0</v>
      </c>
      <c r="W16" s="812">
        <f t="shared" si="20"/>
        <v>0</v>
      </c>
      <c r="X16" s="812">
        <f t="shared" si="21"/>
        <v>0</v>
      </c>
      <c r="Y16" s="812">
        <f t="shared" si="22"/>
        <v>0</v>
      </c>
      <c r="Z16" s="812">
        <f t="shared" si="23"/>
        <v>0</v>
      </c>
      <c r="AA16" s="812">
        <f t="shared" si="24"/>
        <v>0</v>
      </c>
      <c r="AB16" s="813">
        <f t="shared" si="25"/>
        <v>0</v>
      </c>
      <c r="AC16" s="287"/>
      <c r="AD16" s="287"/>
      <c r="AE16" s="287"/>
      <c r="AF16" s="287"/>
      <c r="AG16" s="287"/>
      <c r="AH16" s="287"/>
      <c r="AI16" s="287"/>
      <c r="AJ16" s="287"/>
      <c r="AK16" s="287"/>
      <c r="AL16" s="810"/>
    </row>
    <row r="17" spans="1:38" ht="18.75" customHeight="1" thickBot="1" x14ac:dyDescent="0.25">
      <c r="A17" s="1419">
        <v>79</v>
      </c>
      <c r="B17" s="275">
        <f t="shared" si="0"/>
        <v>0</v>
      </c>
      <c r="C17" s="1415"/>
      <c r="D17" s="811">
        <f t="shared" si="1"/>
        <v>0</v>
      </c>
      <c r="E17" s="812">
        <f t="shared" si="2"/>
        <v>0</v>
      </c>
      <c r="F17" s="812">
        <f t="shared" si="3"/>
        <v>0</v>
      </c>
      <c r="G17" s="812">
        <f t="shared" si="4"/>
        <v>0</v>
      </c>
      <c r="H17" s="812">
        <f t="shared" si="5"/>
        <v>0</v>
      </c>
      <c r="I17" s="812">
        <f t="shared" si="6"/>
        <v>0</v>
      </c>
      <c r="J17" s="812">
        <f t="shared" si="7"/>
        <v>0</v>
      </c>
      <c r="K17" s="812">
        <f t="shared" si="8"/>
        <v>0</v>
      </c>
      <c r="L17" s="812">
        <f t="shared" si="9"/>
        <v>0</v>
      </c>
      <c r="M17" s="812">
        <f t="shared" si="10"/>
        <v>0</v>
      </c>
      <c r="N17" s="812">
        <f t="shared" si="11"/>
        <v>0</v>
      </c>
      <c r="O17" s="812">
        <f t="shared" si="12"/>
        <v>0</v>
      </c>
      <c r="P17" s="812">
        <f t="shared" si="13"/>
        <v>0</v>
      </c>
      <c r="Q17" s="812">
        <f t="shared" si="14"/>
        <v>0</v>
      </c>
      <c r="R17" s="812">
        <f t="shared" si="15"/>
        <v>0</v>
      </c>
      <c r="S17" s="812">
        <f t="shared" si="16"/>
        <v>0</v>
      </c>
      <c r="T17" s="812">
        <f t="shared" si="17"/>
        <v>0</v>
      </c>
      <c r="U17" s="812">
        <f t="shared" si="18"/>
        <v>0</v>
      </c>
      <c r="V17" s="812">
        <f t="shared" si="19"/>
        <v>0</v>
      </c>
      <c r="W17" s="812">
        <f t="shared" si="20"/>
        <v>0</v>
      </c>
      <c r="X17" s="812">
        <f t="shared" si="21"/>
        <v>0</v>
      </c>
      <c r="Y17" s="812">
        <f t="shared" si="22"/>
        <v>0</v>
      </c>
      <c r="Z17" s="812">
        <f t="shared" si="23"/>
        <v>0</v>
      </c>
      <c r="AA17" s="812">
        <f t="shared" si="24"/>
        <v>0</v>
      </c>
      <c r="AB17" s="813">
        <f t="shared" si="25"/>
        <v>0</v>
      </c>
      <c r="AC17" s="287"/>
      <c r="AD17" s="287"/>
      <c r="AE17" s="287"/>
      <c r="AF17" s="287"/>
      <c r="AG17" s="287"/>
      <c r="AH17" s="287"/>
      <c r="AI17" s="287"/>
      <c r="AJ17" s="287"/>
      <c r="AK17" s="287"/>
      <c r="AL17" s="810"/>
    </row>
    <row r="18" spans="1:38" ht="18.75" customHeight="1" thickBot="1" x14ac:dyDescent="0.25">
      <c r="A18" s="1419">
        <v>79</v>
      </c>
      <c r="B18" s="275">
        <f t="shared" si="0"/>
        <v>0</v>
      </c>
      <c r="C18" s="1415"/>
      <c r="D18" s="811">
        <f t="shared" si="1"/>
        <v>0</v>
      </c>
      <c r="E18" s="812">
        <f t="shared" si="2"/>
        <v>0</v>
      </c>
      <c r="F18" s="812">
        <f t="shared" si="3"/>
        <v>0</v>
      </c>
      <c r="G18" s="812">
        <f t="shared" si="4"/>
        <v>0</v>
      </c>
      <c r="H18" s="812">
        <f t="shared" si="5"/>
        <v>0</v>
      </c>
      <c r="I18" s="812">
        <f t="shared" si="6"/>
        <v>0</v>
      </c>
      <c r="J18" s="812">
        <f t="shared" si="7"/>
        <v>0</v>
      </c>
      <c r="K18" s="812">
        <f t="shared" si="8"/>
        <v>0</v>
      </c>
      <c r="L18" s="812">
        <f t="shared" si="9"/>
        <v>0</v>
      </c>
      <c r="M18" s="812">
        <f t="shared" si="10"/>
        <v>0</v>
      </c>
      <c r="N18" s="812">
        <f t="shared" si="11"/>
        <v>0</v>
      </c>
      <c r="O18" s="812">
        <f t="shared" si="12"/>
        <v>0</v>
      </c>
      <c r="P18" s="812">
        <f t="shared" si="13"/>
        <v>0</v>
      </c>
      <c r="Q18" s="812">
        <f t="shared" si="14"/>
        <v>0</v>
      </c>
      <c r="R18" s="812">
        <f t="shared" si="15"/>
        <v>0</v>
      </c>
      <c r="S18" s="812">
        <f t="shared" si="16"/>
        <v>0</v>
      </c>
      <c r="T18" s="812">
        <f t="shared" si="17"/>
        <v>0</v>
      </c>
      <c r="U18" s="812">
        <f t="shared" si="18"/>
        <v>0</v>
      </c>
      <c r="V18" s="812">
        <f t="shared" si="19"/>
        <v>0</v>
      </c>
      <c r="W18" s="812">
        <f t="shared" si="20"/>
        <v>0</v>
      </c>
      <c r="X18" s="812">
        <f t="shared" si="21"/>
        <v>0</v>
      </c>
      <c r="Y18" s="812">
        <f t="shared" si="22"/>
        <v>0</v>
      </c>
      <c r="Z18" s="812">
        <f t="shared" si="23"/>
        <v>0</v>
      </c>
      <c r="AA18" s="812">
        <f t="shared" si="24"/>
        <v>0</v>
      </c>
      <c r="AB18" s="813">
        <f t="shared" si="25"/>
        <v>0</v>
      </c>
      <c r="AC18" s="287"/>
      <c r="AD18" s="287"/>
      <c r="AE18" s="287"/>
      <c r="AF18" s="287"/>
      <c r="AG18" s="287"/>
      <c r="AH18" s="287"/>
      <c r="AI18" s="287"/>
      <c r="AJ18" s="287"/>
      <c r="AK18" s="287"/>
      <c r="AL18" s="810"/>
    </row>
    <row r="19" spans="1:38" ht="18.75" customHeight="1" thickBot="1" x14ac:dyDescent="0.25">
      <c r="A19" s="1419">
        <v>79</v>
      </c>
      <c r="B19" s="275">
        <f t="shared" si="0"/>
        <v>0</v>
      </c>
      <c r="C19" s="1415"/>
      <c r="D19" s="811">
        <f t="shared" si="1"/>
        <v>0</v>
      </c>
      <c r="E19" s="812">
        <f t="shared" si="2"/>
        <v>0</v>
      </c>
      <c r="F19" s="812">
        <f t="shared" si="3"/>
        <v>0</v>
      </c>
      <c r="G19" s="812">
        <f t="shared" si="4"/>
        <v>0</v>
      </c>
      <c r="H19" s="812">
        <f t="shared" si="5"/>
        <v>0</v>
      </c>
      <c r="I19" s="812">
        <f t="shared" si="6"/>
        <v>0</v>
      </c>
      <c r="J19" s="812">
        <f t="shared" si="7"/>
        <v>0</v>
      </c>
      <c r="K19" s="812">
        <f t="shared" si="8"/>
        <v>0</v>
      </c>
      <c r="L19" s="812">
        <f t="shared" si="9"/>
        <v>0</v>
      </c>
      <c r="M19" s="812">
        <f t="shared" si="10"/>
        <v>0</v>
      </c>
      <c r="N19" s="812">
        <f t="shared" si="11"/>
        <v>0</v>
      </c>
      <c r="O19" s="812">
        <f t="shared" si="12"/>
        <v>0</v>
      </c>
      <c r="P19" s="812">
        <f t="shared" si="13"/>
        <v>0</v>
      </c>
      <c r="Q19" s="812">
        <f t="shared" si="14"/>
        <v>0</v>
      </c>
      <c r="R19" s="812">
        <f t="shared" si="15"/>
        <v>0</v>
      </c>
      <c r="S19" s="812">
        <f t="shared" si="16"/>
        <v>0</v>
      </c>
      <c r="T19" s="812">
        <f t="shared" si="17"/>
        <v>0</v>
      </c>
      <c r="U19" s="812">
        <f t="shared" si="18"/>
        <v>0</v>
      </c>
      <c r="V19" s="812">
        <f t="shared" si="19"/>
        <v>0</v>
      </c>
      <c r="W19" s="812">
        <f t="shared" si="20"/>
        <v>0</v>
      </c>
      <c r="X19" s="812">
        <f t="shared" si="21"/>
        <v>0</v>
      </c>
      <c r="Y19" s="812">
        <f t="shared" si="22"/>
        <v>0</v>
      </c>
      <c r="Z19" s="812">
        <f t="shared" si="23"/>
        <v>0</v>
      </c>
      <c r="AA19" s="812">
        <f t="shared" si="24"/>
        <v>0</v>
      </c>
      <c r="AB19" s="813">
        <f t="shared" si="25"/>
        <v>0</v>
      </c>
      <c r="AC19" s="287"/>
      <c r="AD19" s="287"/>
      <c r="AE19" s="287"/>
      <c r="AF19" s="287"/>
      <c r="AG19" s="287"/>
      <c r="AH19" s="287"/>
      <c r="AI19" s="287"/>
      <c r="AJ19" s="287"/>
      <c r="AK19" s="287"/>
      <c r="AL19" s="810"/>
    </row>
    <row r="20" spans="1:38" ht="18.75" customHeight="1" x14ac:dyDescent="0.2">
      <c r="A20" s="1419">
        <v>79</v>
      </c>
      <c r="B20" s="275">
        <f t="shared" si="0"/>
        <v>0</v>
      </c>
      <c r="C20" s="1415"/>
      <c r="D20" s="811">
        <f t="shared" si="1"/>
        <v>0</v>
      </c>
      <c r="E20" s="812">
        <f t="shared" si="2"/>
        <v>0</v>
      </c>
      <c r="F20" s="812">
        <f t="shared" si="3"/>
        <v>0</v>
      </c>
      <c r="G20" s="812">
        <f t="shared" si="4"/>
        <v>0</v>
      </c>
      <c r="H20" s="812">
        <f t="shared" si="5"/>
        <v>0</v>
      </c>
      <c r="I20" s="812">
        <f t="shared" si="6"/>
        <v>0</v>
      </c>
      <c r="J20" s="812">
        <f t="shared" si="7"/>
        <v>0</v>
      </c>
      <c r="K20" s="812">
        <f t="shared" si="8"/>
        <v>0</v>
      </c>
      <c r="L20" s="812">
        <f t="shared" si="9"/>
        <v>0</v>
      </c>
      <c r="M20" s="812">
        <f t="shared" si="10"/>
        <v>0</v>
      </c>
      <c r="N20" s="812">
        <f t="shared" si="11"/>
        <v>0</v>
      </c>
      <c r="O20" s="812">
        <f t="shared" si="12"/>
        <v>0</v>
      </c>
      <c r="P20" s="812">
        <f t="shared" si="13"/>
        <v>0</v>
      </c>
      <c r="Q20" s="812">
        <f t="shared" si="14"/>
        <v>0</v>
      </c>
      <c r="R20" s="812">
        <f t="shared" si="15"/>
        <v>0</v>
      </c>
      <c r="S20" s="812">
        <f t="shared" si="16"/>
        <v>0</v>
      </c>
      <c r="T20" s="812">
        <f t="shared" si="17"/>
        <v>0</v>
      </c>
      <c r="U20" s="812">
        <f t="shared" si="18"/>
        <v>0</v>
      </c>
      <c r="V20" s="812">
        <f t="shared" si="19"/>
        <v>0</v>
      </c>
      <c r="W20" s="812">
        <f t="shared" si="20"/>
        <v>0</v>
      </c>
      <c r="X20" s="812">
        <f t="shared" si="21"/>
        <v>0</v>
      </c>
      <c r="Y20" s="812">
        <f t="shared" si="22"/>
        <v>0</v>
      </c>
      <c r="Z20" s="812">
        <f t="shared" si="23"/>
        <v>0</v>
      </c>
      <c r="AA20" s="812">
        <f t="shared" si="24"/>
        <v>0</v>
      </c>
      <c r="AB20" s="813">
        <f t="shared" si="25"/>
        <v>0</v>
      </c>
      <c r="AC20" s="287"/>
      <c r="AD20" s="287"/>
      <c r="AE20" s="287"/>
      <c r="AF20" s="287"/>
      <c r="AG20" s="287"/>
      <c r="AH20" s="287"/>
      <c r="AI20" s="287"/>
      <c r="AJ20" s="287"/>
      <c r="AK20" s="287"/>
      <c r="AL20" s="810"/>
    </row>
    <row r="21" spans="1:38" ht="21" customHeight="1" x14ac:dyDescent="0.2">
      <c r="A21" s="1418"/>
      <c r="B21" s="1416"/>
      <c r="C21" s="1417" t="s">
        <v>27</v>
      </c>
      <c r="D21" s="814"/>
      <c r="E21" s="814"/>
      <c r="F21" s="814"/>
      <c r="G21" s="814"/>
      <c r="H21" s="814"/>
      <c r="I21" s="814"/>
      <c r="J21" s="814"/>
      <c r="K21" s="814"/>
      <c r="L21" s="814"/>
      <c r="M21" s="814"/>
      <c r="N21" s="814"/>
      <c r="O21" s="814"/>
      <c r="P21" s="814"/>
      <c r="Q21" s="814"/>
      <c r="R21" s="814"/>
      <c r="S21" s="814"/>
      <c r="T21" s="814"/>
      <c r="U21" s="814"/>
      <c r="V21" s="814"/>
      <c r="W21" s="814"/>
      <c r="X21" s="814"/>
      <c r="Y21" s="814"/>
      <c r="Z21" s="814"/>
      <c r="AA21" s="814"/>
      <c r="AB21" s="814"/>
      <c r="AC21" s="815">
        <f>SUM(AC3:AC20)</f>
        <v>0</v>
      </c>
      <c r="AD21" s="815">
        <f t="shared" ref="AD21:AK21" si="26">SUM(AD3:AD20)</f>
        <v>0</v>
      </c>
      <c r="AE21" s="815">
        <f t="shared" si="26"/>
        <v>0</v>
      </c>
      <c r="AF21" s="815">
        <f t="shared" si="26"/>
        <v>0</v>
      </c>
      <c r="AG21" s="815">
        <f t="shared" si="26"/>
        <v>0</v>
      </c>
      <c r="AH21" s="815">
        <f t="shared" si="26"/>
        <v>0</v>
      </c>
      <c r="AI21" s="815">
        <f t="shared" si="26"/>
        <v>0</v>
      </c>
      <c r="AJ21" s="815">
        <f t="shared" si="26"/>
        <v>0</v>
      </c>
      <c r="AK21" s="816">
        <f t="shared" si="26"/>
        <v>0</v>
      </c>
      <c r="AL21" s="810"/>
    </row>
    <row r="22" spans="1:38" ht="10.5" customHeight="1" x14ac:dyDescent="0.2">
      <c r="A22" s="806"/>
      <c r="B22" s="817"/>
      <c r="C22" s="818"/>
      <c r="D22" s="818"/>
      <c r="E22" s="818"/>
      <c r="F22" s="818"/>
      <c r="G22" s="818"/>
      <c r="H22" s="818"/>
      <c r="I22" s="818"/>
      <c r="J22" s="818"/>
      <c r="K22" s="818"/>
      <c r="L22" s="818"/>
      <c r="M22" s="818"/>
      <c r="N22" s="818"/>
      <c r="O22" s="818"/>
      <c r="P22" s="818"/>
      <c r="Q22" s="818"/>
      <c r="R22" s="818"/>
      <c r="S22" s="818"/>
      <c r="T22" s="818"/>
      <c r="U22" s="818"/>
      <c r="V22" s="818"/>
      <c r="W22" s="818"/>
      <c r="X22" s="818"/>
      <c r="Y22" s="818"/>
      <c r="Z22" s="818"/>
      <c r="AA22" s="818"/>
      <c r="AB22" s="818"/>
      <c r="AC22" s="818"/>
      <c r="AD22" s="818"/>
      <c r="AE22" s="818"/>
      <c r="AF22" s="818"/>
      <c r="AG22" s="818"/>
      <c r="AH22" s="818"/>
      <c r="AI22" s="818"/>
      <c r="AJ22" s="818"/>
      <c r="AK22" s="818"/>
      <c r="AL22" s="810"/>
    </row>
    <row r="23" spans="1:38" ht="17.25" customHeight="1" x14ac:dyDescent="0.2">
      <c r="A23" s="806"/>
      <c r="B23" s="819"/>
      <c r="C23" s="820" t="s">
        <v>177</v>
      </c>
      <c r="D23" s="821"/>
      <c r="E23" s="821"/>
      <c r="F23" s="821"/>
      <c r="G23" s="821"/>
      <c r="H23" s="821"/>
      <c r="I23" s="821"/>
      <c r="J23" s="821"/>
      <c r="K23" s="821"/>
      <c r="L23" s="821"/>
      <c r="M23" s="821"/>
      <c r="N23" s="821"/>
      <c r="O23" s="821"/>
      <c r="P23" s="821"/>
      <c r="Q23" s="821"/>
      <c r="R23" s="821"/>
      <c r="S23" s="821"/>
      <c r="T23" s="821"/>
      <c r="U23" s="821"/>
      <c r="V23" s="821"/>
      <c r="W23" s="821"/>
      <c r="X23" s="821"/>
      <c r="Y23" s="821"/>
      <c r="Z23" s="821"/>
      <c r="AA23" s="821"/>
      <c r="AB23" s="821"/>
      <c r="AC23" s="821" t="str">
        <f>IF(AC27=0,"",IF(AC24&lt;=6.45,"II",IF(AC24&lt;=6.95,"III","IV")))</f>
        <v/>
      </c>
      <c r="AD23" s="821" t="str">
        <f t="shared" ref="AD23:AK23" si="27">IF(AD27=0,"",IF(AD24&lt;=6.45,"II",IF(AD24&lt;=6.95,"III","IV")))</f>
        <v/>
      </c>
      <c r="AE23" s="821" t="str">
        <f t="shared" si="27"/>
        <v/>
      </c>
      <c r="AF23" s="821" t="str">
        <f t="shared" si="27"/>
        <v/>
      </c>
      <c r="AG23" s="821" t="str">
        <f t="shared" si="27"/>
        <v/>
      </c>
      <c r="AH23" s="821" t="str">
        <f t="shared" si="27"/>
        <v/>
      </c>
      <c r="AI23" s="821" t="str">
        <f t="shared" si="27"/>
        <v/>
      </c>
      <c r="AJ23" s="821" t="str">
        <f t="shared" si="27"/>
        <v/>
      </c>
      <c r="AK23" s="821" t="str">
        <f t="shared" si="27"/>
        <v/>
      </c>
      <c r="AL23" s="810"/>
    </row>
    <row r="24" spans="1:38" ht="17.25" customHeight="1" x14ac:dyDescent="0.2">
      <c r="A24" s="806"/>
      <c r="B24" s="822"/>
      <c r="C24" s="823" t="s">
        <v>175</v>
      </c>
      <c r="D24" s="824"/>
      <c r="E24" s="824"/>
      <c r="F24" s="824"/>
      <c r="G24" s="824"/>
      <c r="H24" s="824"/>
      <c r="I24" s="824"/>
      <c r="J24" s="824"/>
      <c r="K24" s="824"/>
      <c r="L24" s="824"/>
      <c r="M24" s="824"/>
      <c r="N24" s="824"/>
      <c r="O24" s="824"/>
      <c r="P24" s="824"/>
      <c r="Q24" s="824"/>
      <c r="R24" s="824"/>
      <c r="S24" s="824"/>
      <c r="T24" s="824"/>
      <c r="U24" s="824"/>
      <c r="V24" s="824"/>
      <c r="W24" s="824"/>
      <c r="X24" s="824"/>
      <c r="Y24" s="824"/>
      <c r="Z24" s="824"/>
      <c r="AA24" s="824"/>
      <c r="AB24" s="824"/>
      <c r="AC24" s="825" t="str">
        <f>IF(AC27=0,"",AC28*AC27/100)</f>
        <v/>
      </c>
      <c r="AD24" s="825" t="str">
        <f t="shared" ref="AD24:AK24" si="28">IF(AD27=0,"",AD28*AD27/100)</f>
        <v/>
      </c>
      <c r="AE24" s="825" t="str">
        <f t="shared" si="28"/>
        <v/>
      </c>
      <c r="AF24" s="825" t="str">
        <f t="shared" si="28"/>
        <v/>
      </c>
      <c r="AG24" s="825" t="str">
        <f t="shared" si="28"/>
        <v/>
      </c>
      <c r="AH24" s="825" t="str">
        <f t="shared" si="28"/>
        <v/>
      </c>
      <c r="AI24" s="825" t="str">
        <f t="shared" si="28"/>
        <v/>
      </c>
      <c r="AJ24" s="825" t="str">
        <f t="shared" si="28"/>
        <v/>
      </c>
      <c r="AK24" s="825" t="str">
        <f t="shared" si="28"/>
        <v/>
      </c>
      <c r="AL24" s="810"/>
    </row>
    <row r="25" spans="1:38" ht="17.25" customHeight="1" x14ac:dyDescent="0.2">
      <c r="A25" s="806"/>
      <c r="B25" s="822"/>
      <c r="C25" s="823" t="s">
        <v>176</v>
      </c>
      <c r="D25" s="824"/>
      <c r="E25" s="824"/>
      <c r="F25" s="824"/>
      <c r="G25" s="824"/>
      <c r="H25" s="824"/>
      <c r="I25" s="824"/>
      <c r="J25" s="824"/>
      <c r="K25" s="824"/>
      <c r="L25" s="824"/>
      <c r="M25" s="824"/>
      <c r="N25" s="824"/>
      <c r="O25" s="824"/>
      <c r="P25" s="824"/>
      <c r="Q25" s="824"/>
      <c r="R25" s="824"/>
      <c r="S25" s="824"/>
      <c r="T25" s="824"/>
      <c r="U25" s="824"/>
      <c r="V25" s="824"/>
      <c r="W25" s="824"/>
      <c r="X25" s="824"/>
      <c r="Y25" s="824"/>
      <c r="Z25" s="824"/>
      <c r="AA25" s="824"/>
      <c r="AB25" s="824"/>
      <c r="AC25" s="826" t="str">
        <f>IF(AC23="","",AC30*AC27/100)</f>
        <v/>
      </c>
      <c r="AD25" s="826" t="str">
        <f t="shared" ref="AD25:AK25" si="29">IF(AD23="","",AD30*AD27/100)</f>
        <v/>
      </c>
      <c r="AE25" s="826" t="str">
        <f t="shared" si="29"/>
        <v/>
      </c>
      <c r="AF25" s="826" t="str">
        <f t="shared" si="29"/>
        <v/>
      </c>
      <c r="AG25" s="826" t="str">
        <f t="shared" si="29"/>
        <v/>
      </c>
      <c r="AH25" s="826" t="str">
        <f t="shared" si="29"/>
        <v/>
      </c>
      <c r="AI25" s="826" t="str">
        <f t="shared" si="29"/>
        <v/>
      </c>
      <c r="AJ25" s="826" t="str">
        <f t="shared" si="29"/>
        <v/>
      </c>
      <c r="AK25" s="826" t="str">
        <f t="shared" si="29"/>
        <v/>
      </c>
      <c r="AL25" s="810"/>
    </row>
    <row r="26" spans="1:38" ht="17.25" customHeight="1" x14ac:dyDescent="0.2">
      <c r="A26" s="806"/>
      <c r="B26" s="822"/>
      <c r="C26" s="823" t="s">
        <v>386</v>
      </c>
      <c r="D26" s="824"/>
      <c r="E26" s="824"/>
      <c r="F26" s="824"/>
      <c r="G26" s="824"/>
      <c r="H26" s="824"/>
      <c r="I26" s="824"/>
      <c r="J26" s="824"/>
      <c r="K26" s="824"/>
      <c r="L26" s="824"/>
      <c r="M26" s="824"/>
      <c r="N26" s="824"/>
      <c r="O26" s="824"/>
      <c r="P26" s="824"/>
      <c r="Q26" s="824"/>
      <c r="R26" s="824"/>
      <c r="S26" s="824"/>
      <c r="T26" s="824"/>
      <c r="U26" s="824"/>
      <c r="V26" s="824"/>
      <c r="W26" s="824"/>
      <c r="X26" s="824"/>
      <c r="Y26" s="824"/>
      <c r="Z26" s="824"/>
      <c r="AA26" s="824"/>
      <c r="AB26" s="824"/>
      <c r="AC26" s="825">
        <f>ROUND(AC$3*$AB$3+AC$4*$AB$4+AC$5*$AB$5+AC$6*$AB$6+AC$7*$AB$7+AC$8*$AB$8+AC$9*$AB$9+AC$10*$AB$10+AC$11*$AB$11+AC$12*$AB$12+AC$13*$AB$13+AC$14*$AB$14+AC$15*$AB$15+AC$16*$AB$16+AC$17*$AB$17+AC$18*$AB$18+AC$19*$AB$19+AC$20*$AB$20,2)</f>
        <v>0</v>
      </c>
      <c r="AD26" s="825">
        <f t="shared" ref="AD26:AJ26" si="30">ROUND(AD$3*$AB$3+AD$4*$AB$4+AD$5*$AB$5+AD$6*$AB$6+AD$7*$AB$7+AD$8*$AB$8+AD$9*$AB$9+AD$10*$AB$10+AD$11*$AB$11+AD$12*$AB$12+AD$13*$AB$13+AD$14*$AB$14+AD$15*$AB$15+AD$16*$AB$16+AD$17*$AB$17+AD$18*$AB$18+AD$19*$AB$19+AD$20*$AB$20,2)</f>
        <v>0</v>
      </c>
      <c r="AE26" s="825">
        <f t="shared" si="30"/>
        <v>0</v>
      </c>
      <c r="AF26" s="825">
        <f t="shared" si="30"/>
        <v>0</v>
      </c>
      <c r="AG26" s="825">
        <f t="shared" si="30"/>
        <v>0</v>
      </c>
      <c r="AH26" s="825">
        <f t="shared" si="30"/>
        <v>0</v>
      </c>
      <c r="AI26" s="825">
        <f t="shared" si="30"/>
        <v>0</v>
      </c>
      <c r="AJ26" s="825">
        <f t="shared" si="30"/>
        <v>0</v>
      </c>
      <c r="AK26" s="825">
        <f>ROUND(AK$3*$AB$3+AK$4*$AB$4+AK$5*$AB$5+AK$6*$AB$6+AK$7*$AB$7+AK$8*$AB$8+AK$9*$AB$9+AK$10*$AB$10+AK$11*$AB$11+AK$12*$AB$12+AK$13*$AB$13+AK$14*$AB$14+AK$15*$AB$15+AK$16*$AB$16+AK$17*$AB$17+AK$18*$AB$18+AK$19*$AB$19+AK$20*$AB$20,2)</f>
        <v>0</v>
      </c>
      <c r="AL26" s="810"/>
    </row>
    <row r="27" spans="1:38" ht="15.75" customHeight="1" x14ac:dyDescent="0.2">
      <c r="A27" s="806"/>
      <c r="B27" s="822"/>
      <c r="C27" s="827" t="str">
        <f>D2&amp;", %"</f>
        <v>TM, %</v>
      </c>
      <c r="D27" s="828"/>
      <c r="E27" s="828"/>
      <c r="F27" s="828"/>
      <c r="G27" s="828"/>
      <c r="H27" s="828"/>
      <c r="I27" s="828"/>
      <c r="J27" s="828"/>
      <c r="K27" s="828"/>
      <c r="L27" s="828"/>
      <c r="M27" s="828"/>
      <c r="N27" s="828"/>
      <c r="O27" s="828"/>
      <c r="P27" s="828"/>
      <c r="Q27" s="828"/>
      <c r="R27" s="828"/>
      <c r="S27" s="828"/>
      <c r="T27" s="828"/>
      <c r="U27" s="828"/>
      <c r="V27" s="828"/>
      <c r="W27" s="828"/>
      <c r="X27" s="828"/>
      <c r="Y27" s="828"/>
      <c r="Z27" s="829"/>
      <c r="AA27" s="829"/>
      <c r="AB27" s="829"/>
      <c r="AC27" s="830">
        <f>ROUND(AC$3*$D$3+AC$4*$D$4+AC$5*$D$5+AC$6*$D$6+AC$7*$D$7+AC$8*$D$8+AC$9*$D$9+AC$10*$D$10+AC$11*$D$11+AC$12*$D$12+AC$13*$D$13+AC$14*$D$14+AC$15*$D$15+AC$16*$D$16+AC$17*$D$17+AC$18*$D$18+AC$19*$D$19+AC$20*$D$20,1)</f>
        <v>0</v>
      </c>
      <c r="AD27" s="830">
        <f t="shared" ref="AD27:AK27" si="31">ROUND(AD$3*$D$3+AD$4*$D$4+AD$5*$D$5+AD$6*$D$6+AD$7*$D$7+AD$8*$D$8+AD$9*$D$9+AD$10*$D$10+AD$11*$D$11+AD$12*$D$12+AD$13*$D$13+AD$14*$D$14+AD$15*$D$15+AD$16*$D$16+AD$17*$D$17+AD$18*$D$18+AD$19*$D$19+AD$20*$D$20,1)</f>
        <v>0</v>
      </c>
      <c r="AE27" s="830">
        <f t="shared" si="31"/>
        <v>0</v>
      </c>
      <c r="AF27" s="830">
        <f t="shared" si="31"/>
        <v>0</v>
      </c>
      <c r="AG27" s="830">
        <f t="shared" si="31"/>
        <v>0</v>
      </c>
      <c r="AH27" s="830">
        <f t="shared" si="31"/>
        <v>0</v>
      </c>
      <c r="AI27" s="830">
        <f t="shared" si="31"/>
        <v>0</v>
      </c>
      <c r="AJ27" s="830">
        <f t="shared" si="31"/>
        <v>0</v>
      </c>
      <c r="AK27" s="830">
        <f t="shared" si="31"/>
        <v>0</v>
      </c>
      <c r="AL27" s="810"/>
    </row>
    <row r="28" spans="1:38" ht="15.75" customHeight="1" x14ac:dyDescent="0.2">
      <c r="A28" s="806"/>
      <c r="B28" s="822"/>
      <c r="C28" s="827" t="str">
        <f>E2&amp;", MJ/kg TM"</f>
        <v>NEL, MJ/kg TM</v>
      </c>
      <c r="D28" s="828"/>
      <c r="E28" s="828"/>
      <c r="F28" s="828"/>
      <c r="G28" s="828"/>
      <c r="H28" s="828"/>
      <c r="I28" s="828"/>
      <c r="J28" s="828"/>
      <c r="K28" s="828"/>
      <c r="L28" s="828"/>
      <c r="M28" s="828"/>
      <c r="N28" s="828"/>
      <c r="O28" s="828"/>
      <c r="P28" s="828"/>
      <c r="Q28" s="828"/>
      <c r="R28" s="828"/>
      <c r="S28" s="828"/>
      <c r="T28" s="828"/>
      <c r="U28" s="828"/>
      <c r="V28" s="828"/>
      <c r="W28" s="828"/>
      <c r="X28" s="828"/>
      <c r="Y28" s="828"/>
      <c r="Z28" s="828"/>
      <c r="AA28" s="828"/>
      <c r="AB28" s="828"/>
      <c r="AC28" s="831" t="str">
        <f>IF(AC27=0,"",ROUND($D$3/100*AC$3*$E$3+$D$4/100*AC$4*$E$4+$D$5/100*AC$5*$E$5+$D$6/100*AC$6*$E$6+$D$7/100*AC$7*$E$7+$D$8/100*AC$8*$E$8+$D$9/100*AC$9*$E$9+$D$10/100*AC$10*$E$10+$D$11/100*AC$11*$E$11+$D$12/100*AC$12*$E$12+$D$13/100*AC$13*$E$13+$D$14/100*AC$14*$E$14+$D$15/100*AC$15*$E$15+$D$16/100*AC$16*$E$16+$D$17/100*AC$17*$E$17+$D$18/100*AC$18*$E$18+$D$19/100*AC$19*$E$19+$D$20/100*AC$20*$E$20,2)/AC27*100)</f>
        <v/>
      </c>
      <c r="AD28" s="830" t="str">
        <f t="shared" ref="AD28:AK28" si="32">IF(AD27=0,"",ROUND($D$3/100*AD$3*$E$3+$D$4/100*AD$4*$E$4+$D$5/100*AD$5*$E$5+$D$6/100*AD$6*$E$6+$D$7/100*AD$7*$E$7+$D$8/100*AD$8*$E$8+$D$9/100*AD$9*$E$9+$D$10/100*AD$10*$E$10+$D$11/100*AD$11*$E$11+$D$12/100*AD$12*$E$12+$D$13/100*AD$13*$E$13+$D$14/100*AD$14*$E$14+$D$15/100*AD$15*$E$15+$D$16/100*AD$16*$E$16+$D$17/100*AD$17*$E$17+$D$18/100*AD$18*$E$18+$D$19/100*AD$19*$E$19+$D$20/100*AD$20*$E$20,2)/AD27*100)</f>
        <v/>
      </c>
      <c r="AE28" s="831" t="str">
        <f t="shared" si="32"/>
        <v/>
      </c>
      <c r="AF28" s="830" t="str">
        <f t="shared" si="32"/>
        <v/>
      </c>
      <c r="AG28" s="830" t="str">
        <f t="shared" si="32"/>
        <v/>
      </c>
      <c r="AH28" s="830" t="str">
        <f t="shared" si="32"/>
        <v/>
      </c>
      <c r="AI28" s="830" t="str">
        <f t="shared" si="32"/>
        <v/>
      </c>
      <c r="AJ28" s="830" t="str">
        <f t="shared" si="32"/>
        <v/>
      </c>
      <c r="AK28" s="830" t="str">
        <f t="shared" si="32"/>
        <v/>
      </c>
      <c r="AL28" s="810"/>
    </row>
    <row r="29" spans="1:38" ht="15.75" customHeight="1" x14ac:dyDescent="0.2">
      <c r="A29" s="806"/>
      <c r="B29" s="822"/>
      <c r="C29" s="827" t="str">
        <f>F2&amp;", MJ/kg TM"</f>
        <v>ME, MJ/kg TM</v>
      </c>
      <c r="D29" s="828"/>
      <c r="E29" s="828"/>
      <c r="F29" s="828"/>
      <c r="G29" s="828"/>
      <c r="H29" s="828"/>
      <c r="I29" s="828"/>
      <c r="J29" s="828"/>
      <c r="K29" s="828"/>
      <c r="L29" s="828"/>
      <c r="M29" s="828"/>
      <c r="N29" s="828"/>
      <c r="O29" s="828"/>
      <c r="P29" s="828"/>
      <c r="Q29" s="828"/>
      <c r="R29" s="828"/>
      <c r="S29" s="828"/>
      <c r="T29" s="828"/>
      <c r="U29" s="828"/>
      <c r="V29" s="828"/>
      <c r="W29" s="828"/>
      <c r="X29" s="828"/>
      <c r="Y29" s="828"/>
      <c r="Z29" s="828"/>
      <c r="AA29" s="828"/>
      <c r="AB29" s="828"/>
      <c r="AC29" s="831" t="str">
        <f>IF(AC27=0,"",ROUND($D$3/100*AC$3*$F$3+$D$4/100*AC$4*$F$4+$D$5/100*AC$5*$F$5+$D$6/100*AC$6*$F$6+$D$7/100*AC$7*$F$7+$D$8/100*AC$8*$F$8+$D$9/100*AC$9*$F$9+$D$10/100*AC$10*$F$10+$D$11/100*AC$11*$F$11+$D$12/100*AC$12*$F$12+$D$13/100*AC$13*$F$13+$D$14/100*AC$14*$F$14+$D$15/100*AC$15*$F$15+$D$16/100*AC$16*$F$16+$D$17/100*AC$17*$F$17+$D$18/100*AC$18*$F$18+$D$19/100*AC$19*$F$19+$D$20/100*AC$20*$F$20,2)/AC27*100)</f>
        <v/>
      </c>
      <c r="AD29" s="830" t="str">
        <f t="shared" ref="AD29:AK29" si="33">IF(AD27=0,"",ROUND($D$3/100*AD$3*$F$3+$D$4/100*AD$4*$F$4+$D$5/100*AD$5*$F$5+$D$6/100*AD$6*$F$6+$D$7/100*AD$7*$F$7+$D$8/100*AD$8*$F$8+$D$9/100*AD$9*$F$9+$D$10/100*AD$10*$F$10+$D$11/100*AD$11*$F$11+$D$12/100*AD$12*$F$12+$D$13/100*AD$13*$F$13+$D$14/100*AD$14*$F$14+$D$15/100*AD$15*$F$15+$D$16/100*AD$16*$F$16+$D$17/100*AD$17*$F$17+$D$18/100*AD$18*$F$18+$D$19/100*AD$19*$F$19+$D$20/100*AD$20*$F$20,2)/AD27*100)</f>
        <v/>
      </c>
      <c r="AE29" s="831" t="str">
        <f t="shared" si="33"/>
        <v/>
      </c>
      <c r="AF29" s="830" t="str">
        <f t="shared" si="33"/>
        <v/>
      </c>
      <c r="AG29" s="830" t="str">
        <f t="shared" si="33"/>
        <v/>
      </c>
      <c r="AH29" s="830" t="str">
        <f t="shared" si="33"/>
        <v/>
      </c>
      <c r="AI29" s="830" t="str">
        <f t="shared" si="33"/>
        <v/>
      </c>
      <c r="AJ29" s="830" t="str">
        <f t="shared" si="33"/>
        <v/>
      </c>
      <c r="AK29" s="830" t="str">
        <f t="shared" si="33"/>
        <v/>
      </c>
      <c r="AL29" s="810"/>
    </row>
    <row r="30" spans="1:38" ht="15.75" customHeight="1" x14ac:dyDescent="0.2">
      <c r="A30" s="806"/>
      <c r="B30" s="822"/>
      <c r="C30" s="827" t="str">
        <f>G2&amp;", g/kg TM"</f>
        <v>XP, g/kg TM</v>
      </c>
      <c r="D30" s="828"/>
      <c r="E30" s="828"/>
      <c r="F30" s="828"/>
      <c r="G30" s="828"/>
      <c r="H30" s="828"/>
      <c r="I30" s="828"/>
      <c r="J30" s="828"/>
      <c r="K30" s="828"/>
      <c r="L30" s="828"/>
      <c r="M30" s="828"/>
      <c r="N30" s="828"/>
      <c r="O30" s="828"/>
      <c r="P30" s="828"/>
      <c r="Q30" s="828"/>
      <c r="R30" s="828"/>
      <c r="S30" s="828"/>
      <c r="T30" s="828"/>
      <c r="U30" s="828"/>
      <c r="V30" s="828"/>
      <c r="W30" s="828"/>
      <c r="X30" s="828"/>
      <c r="Y30" s="828"/>
      <c r="Z30" s="828"/>
      <c r="AA30" s="828"/>
      <c r="AB30" s="828"/>
      <c r="AC30" s="832" t="str">
        <f>IF(AC23="","",ROUND($D$3/100*AC$3*$G$3+$D$4/100*AC$4*$G$4+$D$5/100*AC$5*$G$5+$D$6/100*AC$6*$G$6+$D$7/100*AC$7*$G$7+$D$8/100*AC$8*$G$8+$D$9/100*AC$9*$G$9+$D$10/100*AC$10*$G$10+$D$11/100*AC$11*$G$11+$D$12/100*AC$12*$G$12+$D$13/100*AC$13*$G$13+$D$14/100*AC$14*$G$14+$D$15/100*AC$15*$G$15+$D$16/100*AC$16*$G$16+$D$17/100*AC$17*$G$17+$D$18/100*AC$18*$G$18+$D$19/100*AC$19*$G$19+$D$20/100*AC$20*$G$20,1)/AC27*100)</f>
        <v/>
      </c>
      <c r="AD30" s="832" t="str">
        <f t="shared" ref="AD30:AK30" si="34">IF(AD23="","",ROUND($D$3/100*AD$3*$G$3+$D$4/100*AD$4*$G$4+$D$5/100*AD$5*$G$5+$D$6/100*AD$6*$G$6+$D$7/100*AD$7*$G$7+$D$8/100*AD$8*$G$8+$D$9/100*AD$9*$G$9+$D$10/100*AD$10*$G$10+$D$11/100*AD$11*$G$11+$D$12/100*AD$12*$G$12+$D$13/100*AD$13*$G$13+$D$14/100*AD$14*$G$14+$D$15/100*AD$15*$G$15+$D$16/100*AD$16*$G$16+$D$17/100*AD$17*$G$17+$D$18/100*AD$18*$G$18+$D$19/100*AD$19*$G$19+$D$20/100*AD$20*$G$20,1)/AD27*100)</f>
        <v/>
      </c>
      <c r="AE30" s="832" t="str">
        <f t="shared" si="34"/>
        <v/>
      </c>
      <c r="AF30" s="832" t="str">
        <f t="shared" si="34"/>
        <v/>
      </c>
      <c r="AG30" s="832" t="str">
        <f t="shared" si="34"/>
        <v/>
      </c>
      <c r="AH30" s="832" t="str">
        <f t="shared" si="34"/>
        <v/>
      </c>
      <c r="AI30" s="832" t="str">
        <f t="shared" si="34"/>
        <v/>
      </c>
      <c r="AJ30" s="832" t="str">
        <f t="shared" si="34"/>
        <v/>
      </c>
      <c r="AK30" s="832" t="str">
        <f t="shared" si="34"/>
        <v/>
      </c>
      <c r="AL30" s="810"/>
    </row>
    <row r="31" spans="1:38" ht="15.75" customHeight="1" x14ac:dyDescent="0.2">
      <c r="A31" s="806"/>
      <c r="B31" s="822"/>
      <c r="C31" s="827" t="str">
        <f>H2&amp;", % d. XP"</f>
        <v>UDP, % d. XP</v>
      </c>
      <c r="D31" s="828"/>
      <c r="E31" s="828"/>
      <c r="F31" s="828"/>
      <c r="G31" s="828"/>
      <c r="H31" s="828"/>
      <c r="I31" s="828"/>
      <c r="J31" s="828"/>
      <c r="K31" s="828"/>
      <c r="L31" s="828"/>
      <c r="M31" s="828"/>
      <c r="N31" s="828"/>
      <c r="O31" s="828"/>
      <c r="P31" s="828"/>
      <c r="Q31" s="828"/>
      <c r="R31" s="828"/>
      <c r="S31" s="828"/>
      <c r="T31" s="828"/>
      <c r="U31" s="828"/>
      <c r="V31" s="828"/>
      <c r="W31" s="828"/>
      <c r="X31" s="828"/>
      <c r="Y31" s="828"/>
      <c r="Z31" s="828"/>
      <c r="AA31" s="828"/>
      <c r="AB31" s="828"/>
      <c r="AC31" s="833" t="str">
        <f>IF(AC23="","",ROUND(($D$3/100*AC$3*$H$3*$G3+$D$4/100*AC$4*$H$4*$G4+$D$5/100*AC$5*$H$5*$G5+$D$6/100*AC$6*$H$6*$G6+$D$7/100*AC$7*$H$7*$G7+$D$8/100*AC$8*$H$8*$G8+$D$9/100*AC$9*$H$9*$G9+$D$10/100*AC$10*$H$10*$G10+$D$11/100*AC$11*$H$11*$G11+$D$12/100*AC$12*$H$12*$G12+$D$13/100*AC$13*$H$13*$G13+$D$14/100*AC$14*$H$14*$G14+$D$15/100*AC$15*$H$15*$G15+$D$16/100*AC$16*$H$16*$G16+$D$17/100*AC$17*$H$17*$G17+$D$18/100*AC$18*$H$18*$G18+$D$19/100*AC$19*$H$19*$G19+$D$20/100*AC$20*$H$20*$G20)/($AC$30),1))</f>
        <v/>
      </c>
      <c r="AD31" s="834" t="str">
        <f t="shared" ref="AD31:AK31" si="35">IF(AD23="","",ROUND(($D$3/100*AD$3*$H$3*$G3+$D$4/100*AD$4*$H$4*$G4+$D$5/100*AD$5*$H$5*$G5+$D$6/100*AD$6*$H$6*$G6+$D$7/100*AD$7*$H$7*$G7+$D$8/100*AD$8*$H$8*$G8+$D$9/100*AD$9*$H$9*$G9+$D$10/100*AD$10*$H$10*$G10+$D$11/100*AD$11*$H$11*$G11+$D$12/100*AD$12*$H$12*$G12+$D$13/100*AD$13*$H$13*$G13+$D$14/100*AD$14*$H$14*$G14+$D$15/100*AD$15*$H$15*$G15+$D$16/100*AD$16*$H$16*$G16+$D$17/100*AD$17*$H$17*$G17+$D$18/100*AD$18*$H$18*$G18+$D$19/100*AD$19*$H$19*$G19+$D$20/100*AD$20*$H$20*$G20)/($AC$30),1))</f>
        <v/>
      </c>
      <c r="AE31" s="834" t="str">
        <f t="shared" si="35"/>
        <v/>
      </c>
      <c r="AF31" s="834" t="str">
        <f t="shared" si="35"/>
        <v/>
      </c>
      <c r="AG31" s="834" t="str">
        <f t="shared" si="35"/>
        <v/>
      </c>
      <c r="AH31" s="834" t="str">
        <f t="shared" si="35"/>
        <v/>
      </c>
      <c r="AI31" s="834" t="str">
        <f t="shared" si="35"/>
        <v/>
      </c>
      <c r="AJ31" s="834" t="str">
        <f t="shared" si="35"/>
        <v/>
      </c>
      <c r="AK31" s="834" t="str">
        <f t="shared" si="35"/>
        <v/>
      </c>
      <c r="AL31" s="810"/>
    </row>
    <row r="32" spans="1:38" ht="15.75" customHeight="1" x14ac:dyDescent="0.2">
      <c r="A32" s="806"/>
      <c r="B32" s="822"/>
      <c r="C32" s="827" t="str">
        <f>I2&amp;", g/kg TM"</f>
        <v>nXP, g/kg TM</v>
      </c>
      <c r="D32" s="828"/>
      <c r="E32" s="828"/>
      <c r="F32" s="828"/>
      <c r="G32" s="828"/>
      <c r="H32" s="828"/>
      <c r="I32" s="828"/>
      <c r="J32" s="828"/>
      <c r="K32" s="828"/>
      <c r="L32" s="828"/>
      <c r="M32" s="828"/>
      <c r="N32" s="828"/>
      <c r="O32" s="828"/>
      <c r="P32" s="828"/>
      <c r="Q32" s="828"/>
      <c r="R32" s="828"/>
      <c r="S32" s="828"/>
      <c r="T32" s="828"/>
      <c r="U32" s="828"/>
      <c r="V32" s="828"/>
      <c r="W32" s="828"/>
      <c r="X32" s="828"/>
      <c r="Y32" s="828"/>
      <c r="Z32" s="828"/>
      <c r="AA32" s="828"/>
      <c r="AB32" s="828"/>
      <c r="AC32" s="832" t="str">
        <f>IF(AC23="","",ROUND($D$3/100*AC$3*$I$3+$D$4/100*AC$4*$I$4+$D$5/100*AC$5*$I$5+$D$6/100*AC$6*$I$6+$D$7/100*AC$7*$I$7+$D$8/100*AC$8*$I$8+$D$9/100*AC$9*$I$9+$D$10/100*AC$10*$I$10+$D$11/100*AC$11*$I$11+$D$12/100*AC$12*$I$12+$D$13/100*AC$13*$I$13+$D$14/100*AC$14*$I$14+$D$15/100*AC$15*$I$15+$D$16/100*AC$16*$I$16+$D$17/100*AC$17*$I$17+$D$18/100*AC$18*$I$18+$D$19/100*AC$19*$I$19+$D$20/100*AC$20*$I$20,1)/AC$27*100)</f>
        <v/>
      </c>
      <c r="AD32" s="832" t="str">
        <f t="shared" ref="AD32:AK32" si="36">IF(AD23="","",ROUND($D$3/100*AD$3*$I$3+$D$4/100*AD$4*$I$4+$D$5/100*AD$5*$I$5+$D$6/100*AD$6*$I$6+$D$7/100*AD$7*$I$7+$D$8/100*AD$8*$I$8+$D$9/100*AD$9*$I$9+$D$10/100*AD$10*$I$10+$D$11/100*AD$11*$I$11+$D$12/100*AD$12*$I$12+$D$13/100*AD$13*$I$13+$D$14/100*AD$14*$I$14+$D$15/100*AD$15*$I$15+$D$16/100*AD$16*$I$16+$D$17/100*AD$17*$I$17+$D$18/100*AD$18*$I$18+$D$19/100*AD$19*$I$19+$D$20/100*AD$20*$I$20,1)/AD$27*100)</f>
        <v/>
      </c>
      <c r="AE32" s="832" t="str">
        <f t="shared" si="36"/>
        <v/>
      </c>
      <c r="AF32" s="832" t="str">
        <f t="shared" si="36"/>
        <v/>
      </c>
      <c r="AG32" s="832" t="str">
        <f t="shared" si="36"/>
        <v/>
      </c>
      <c r="AH32" s="832" t="str">
        <f t="shared" si="36"/>
        <v/>
      </c>
      <c r="AI32" s="832" t="str">
        <f t="shared" si="36"/>
        <v/>
      </c>
      <c r="AJ32" s="832" t="str">
        <f t="shared" si="36"/>
        <v/>
      </c>
      <c r="AK32" s="832" t="str">
        <f t="shared" si="36"/>
        <v/>
      </c>
      <c r="AL32" s="810"/>
    </row>
    <row r="33" spans="1:38" ht="15.75" customHeight="1" x14ac:dyDescent="0.2">
      <c r="A33" s="806"/>
      <c r="B33" s="822"/>
      <c r="C33" s="827" t="str">
        <f>J2&amp;", g/kg TM"</f>
        <v>RNB, g/kg TM</v>
      </c>
      <c r="D33" s="828"/>
      <c r="E33" s="828"/>
      <c r="F33" s="828"/>
      <c r="G33" s="828"/>
      <c r="H33" s="828"/>
      <c r="I33" s="828"/>
      <c r="J33" s="828"/>
      <c r="K33" s="828"/>
      <c r="L33" s="828"/>
      <c r="M33" s="828"/>
      <c r="N33" s="828"/>
      <c r="O33" s="828"/>
      <c r="P33" s="828"/>
      <c r="Q33" s="828"/>
      <c r="R33" s="828"/>
      <c r="S33" s="828"/>
      <c r="T33" s="828"/>
      <c r="U33" s="828"/>
      <c r="V33" s="828"/>
      <c r="W33" s="828"/>
      <c r="X33" s="828"/>
      <c r="Y33" s="828"/>
      <c r="Z33" s="828"/>
      <c r="AA33" s="828"/>
      <c r="AB33" s="828"/>
      <c r="AC33" s="830" t="str">
        <f>IF(AC23="","",ROUND($D$3/100*AC$3*$J$3+$D$4/100*AC$4*$J$4+$D$5/100*AC$5*$J$5+$D$6/100*AC$6*$J$6+$D$7/100*AC$7*$J$7+$D$8/100*AC$8*$J$8+$D$9/100*AC$9*$J$9+$D$10/100*AC$10*$J$10+$D$11/100*AC$11*$J$11+$D$12/100*AC$12*$J$12+$D$13/100*AC$13*$J$13+$D$14/100*AC$14*$J$14+$D$15/100*AC$15*$J$15+$D$16/100*AC$16*$J$16+$D$17/100*AC$17*$J$17+$D$18/100*AC$18*$J$18+$D$19/100*AC$19*$J$19+$D$20/100*AC$20*$J$20,1)/AC$27*100)</f>
        <v/>
      </c>
      <c r="AD33" s="830" t="str">
        <f t="shared" ref="AD33:AK33" si="37">IF(AD23="","",ROUND($D$3/100*AD$3*$J$3+$D$4/100*AD$4*$J$4+$D$5/100*AD$5*$J$5+$D$6/100*AD$6*$J$6+$D$7/100*AD$7*$J$7+$D$8/100*AD$8*$J$8+$D$9/100*AD$9*$J$9+$D$10/100*AD$10*$J$10+$D$11/100*AD$11*$J$11+$D$12/100*AD$12*$J$12+$D$13/100*AD$13*$J$13+$D$14/100*AD$14*$J$14+$D$15/100*AD$15*$J$15+$D$16/100*AD$16*$J$16+$D$17/100*AD$17*$J$17+$D$18/100*AD$18*$J$18+$D$19/100*AD$19*$J$19+$D$20/100*AD$20*$J$20,1)/AD$27*100)</f>
        <v/>
      </c>
      <c r="AE33" s="830" t="str">
        <f t="shared" si="37"/>
        <v/>
      </c>
      <c r="AF33" s="830" t="str">
        <f t="shared" si="37"/>
        <v/>
      </c>
      <c r="AG33" s="830" t="str">
        <f t="shared" si="37"/>
        <v/>
      </c>
      <c r="AH33" s="830" t="str">
        <f t="shared" si="37"/>
        <v/>
      </c>
      <c r="AI33" s="830" t="str">
        <f t="shared" si="37"/>
        <v/>
      </c>
      <c r="AJ33" s="830" t="str">
        <f t="shared" si="37"/>
        <v/>
      </c>
      <c r="AK33" s="830" t="str">
        <f t="shared" si="37"/>
        <v/>
      </c>
      <c r="AL33" s="810"/>
    </row>
    <row r="34" spans="1:38" ht="15.75" hidden="1" customHeight="1" x14ac:dyDescent="0.2">
      <c r="A34" s="806"/>
      <c r="B34" s="822"/>
      <c r="C34" s="835" t="str">
        <f>K2&amp;" /kg TM"</f>
        <v>0 /kg TM</v>
      </c>
      <c r="D34" s="828"/>
      <c r="E34" s="828"/>
      <c r="F34" s="828"/>
      <c r="G34" s="828"/>
      <c r="H34" s="828"/>
      <c r="I34" s="828"/>
      <c r="J34" s="828"/>
      <c r="K34" s="828"/>
      <c r="L34" s="828"/>
      <c r="M34" s="828"/>
      <c r="N34" s="828"/>
      <c r="O34" s="828"/>
      <c r="P34" s="828"/>
      <c r="Q34" s="828"/>
      <c r="R34" s="828"/>
      <c r="S34" s="828"/>
      <c r="T34" s="828"/>
      <c r="U34" s="828"/>
      <c r="V34" s="828"/>
      <c r="W34" s="828"/>
      <c r="X34" s="828"/>
      <c r="Y34" s="828"/>
      <c r="Z34" s="828"/>
      <c r="AA34" s="828"/>
      <c r="AB34" s="828"/>
      <c r="AC34" s="830" t="e">
        <f t="shared" ref="AC34:AK34" si="38">ROUND($D$3/100*AC$3*$I$3+$D$4/100*AC$4*$I$4+$D$5/100*AC$5*$I$5+$D$6/100*AC$6*$I$6+$D$7/100*AC$7*$I$7+$D$8/100*AC$8*$I$8+$D$9/100*AC$9*$I$9+$D$10/100*AC$10*$I$10+$D$11/100*AC$11*$I$11+$D$12/100*AC$12*$I$12+$D$13/100*AC$13*$I$13+$D$14/100*AC$14*$I$14+$D$15/100*AC$15*$I$15+$D$16/100*AC$16*$I$16+$D$17/100*AC$17*$I$17+$D$18/100*AC$18*$I$18+$D$19/100*AC$19*$I$19+$D$20/100*AC$20*$I$20,1)/AC$27*100</f>
        <v>#DIV/0!</v>
      </c>
      <c r="AD34" s="830" t="e">
        <f t="shared" si="38"/>
        <v>#DIV/0!</v>
      </c>
      <c r="AE34" s="830" t="e">
        <f t="shared" si="38"/>
        <v>#DIV/0!</v>
      </c>
      <c r="AF34" s="830" t="e">
        <f t="shared" si="38"/>
        <v>#DIV/0!</v>
      </c>
      <c r="AG34" s="830" t="e">
        <f t="shared" si="38"/>
        <v>#DIV/0!</v>
      </c>
      <c r="AH34" s="830" t="e">
        <f t="shared" si="38"/>
        <v>#DIV/0!</v>
      </c>
      <c r="AI34" s="830" t="e">
        <f t="shared" si="38"/>
        <v>#DIV/0!</v>
      </c>
      <c r="AJ34" s="830" t="e">
        <f t="shared" si="38"/>
        <v>#DIV/0!</v>
      </c>
      <c r="AK34" s="830" t="e">
        <f t="shared" si="38"/>
        <v>#DIV/0!</v>
      </c>
      <c r="AL34" s="810"/>
    </row>
    <row r="35" spans="1:38" ht="15.75" customHeight="1" x14ac:dyDescent="0.2">
      <c r="A35" s="806"/>
      <c r="B35" s="822"/>
      <c r="C35" s="827" t="str">
        <f>L2&amp;", g/kg TM"</f>
        <v>ADF, g/kg TM</v>
      </c>
      <c r="D35" s="828"/>
      <c r="E35" s="828"/>
      <c r="F35" s="828"/>
      <c r="G35" s="828"/>
      <c r="H35" s="828"/>
      <c r="I35" s="828"/>
      <c r="J35" s="828"/>
      <c r="K35" s="828"/>
      <c r="L35" s="828"/>
      <c r="M35" s="828"/>
      <c r="N35" s="828"/>
      <c r="O35" s="828"/>
      <c r="P35" s="828"/>
      <c r="Q35" s="828"/>
      <c r="R35" s="828"/>
      <c r="S35" s="828"/>
      <c r="T35" s="828"/>
      <c r="U35" s="828"/>
      <c r="V35" s="828"/>
      <c r="W35" s="828"/>
      <c r="X35" s="828"/>
      <c r="Y35" s="828"/>
      <c r="Z35" s="828"/>
      <c r="AA35" s="828"/>
      <c r="AB35" s="828"/>
      <c r="AC35" s="832" t="str">
        <f>IF(AC23="","",ROUND($D$3/100*AC$3*$L$3+$D$4/100*AC$4*$L$4+$D$5/100*AC$5*$L$5+$D$6/100*AC$6*$L$6+$D$7/100*AC$7*$L$7+$D$8/100*AC$8*$L$8+$D$9/100*AC$9*$L$9+$D$10/100*AC$10*$L$10+$D$11/100*AC$11*$L$11+$D$12/100*AC$12*$L$12+$D$13/100*AC$13*$L$13+$D$14/100*AC$14*$L$14+$D$15/100*AC$15*$L$15+$D$16/100*AC$16*$L$16+$D$17/100*AC$17*$L$17+$D$18/100*AC$18*$L$18+$D$19/100*AC$19*$L$19+$D$20/100*AC$20*$L$20,1)/AC$27*100)</f>
        <v/>
      </c>
      <c r="AD35" s="832" t="str">
        <f t="shared" ref="AD35:AK35" si="39">IF(AD23="","",ROUND($D$3/100*AD$3*$L$3+$D$4/100*AD$4*$L$4+$D$5/100*AD$5*$L$5+$D$6/100*AD$6*$L$6+$D$7/100*AD$7*$L$7+$D$8/100*AD$8*$L$8+$D$9/100*AD$9*$L$9+$D$10/100*AD$10*$L$10+$D$11/100*AD$11*$L$11+$D$12/100*AD$12*$L$12+$D$13/100*AD$13*$L$13+$D$14/100*AD$14*$L$14+$D$15/100*AD$15*$L$15+$D$16/100*AD$16*$L$16+$D$17/100*AD$17*$L$17+$D$18/100*AD$18*$L$18+$D$19/100*AD$19*$L$19+$D$20/100*AD$20*$L$20,1)/AD$27*100)</f>
        <v/>
      </c>
      <c r="AE35" s="832" t="str">
        <f t="shared" si="39"/>
        <v/>
      </c>
      <c r="AF35" s="832" t="str">
        <f t="shared" si="39"/>
        <v/>
      </c>
      <c r="AG35" s="832" t="str">
        <f t="shared" si="39"/>
        <v/>
      </c>
      <c r="AH35" s="832" t="str">
        <f t="shared" si="39"/>
        <v/>
      </c>
      <c r="AI35" s="832" t="str">
        <f t="shared" si="39"/>
        <v/>
      </c>
      <c r="AJ35" s="832" t="str">
        <f t="shared" si="39"/>
        <v/>
      </c>
      <c r="AK35" s="832" t="str">
        <f t="shared" si="39"/>
        <v/>
      </c>
      <c r="AL35" s="810"/>
    </row>
    <row r="36" spans="1:38" ht="15.75" customHeight="1" x14ac:dyDescent="0.2">
      <c r="A36" s="806"/>
      <c r="B36" s="822"/>
      <c r="C36" s="827" t="str">
        <f>M2&amp;", g/kg TM"</f>
        <v>aNDFom, g/kg TM</v>
      </c>
      <c r="D36" s="828"/>
      <c r="E36" s="828"/>
      <c r="F36" s="828"/>
      <c r="G36" s="828"/>
      <c r="H36" s="828"/>
      <c r="I36" s="828"/>
      <c r="J36" s="828"/>
      <c r="K36" s="828"/>
      <c r="L36" s="828"/>
      <c r="M36" s="828"/>
      <c r="N36" s="828"/>
      <c r="O36" s="828"/>
      <c r="P36" s="828"/>
      <c r="Q36" s="828"/>
      <c r="R36" s="828"/>
      <c r="S36" s="828"/>
      <c r="T36" s="828"/>
      <c r="U36" s="828"/>
      <c r="V36" s="828"/>
      <c r="W36" s="828"/>
      <c r="X36" s="828"/>
      <c r="Y36" s="828"/>
      <c r="Z36" s="828"/>
      <c r="AA36" s="828"/>
      <c r="AB36" s="828"/>
      <c r="AC36" s="832" t="str">
        <f>IF(AC23="","",ROUND($D$3/100*AC$3*$M$3+$D$4/100*AC$4*$M$4+$D$5/100*AC$5*$M$5+$D$6/100*AC$6*$M$6+$D$7/100*AC$7*$M$7+$D$8/100*AC$8*$M$8+$D$9/100*AC$9*$M$9+$D$10/100*AC$10*$M$10+$D$11/100*AC$11*$M$11+$D$12/100*AC$12*$M$12+$D$13/100*AC$13*$M$13+$D$14/100*AC$14*$M$14+$D$15/100*AC$15*$M$15+$D$16/100*AC$16*$M$16+$D$17/100*AC$17*$M$17+$D$18/100*AC$18*$M$18+$D$19/100*AC$19*$M$19+$D$20/100*AC$20*$M$20,1)/AC$27*100)</f>
        <v/>
      </c>
      <c r="AD36" s="832" t="str">
        <f t="shared" ref="AD36:AK36" si="40">IF(AD23="","",ROUND($D$3/100*AD$3*$M$3+$D$4/100*AD$4*$M$4+$D$5/100*AD$5*$M$5+$D$6/100*AD$6*$M$6+$D$7/100*AD$7*$M$7+$D$8/100*AD$8*$M$8+$D$9/100*AD$9*$M$9+$D$10/100*AD$10*$M$10+$D$11/100*AD$11*$M$11+$D$12/100*AD$12*$M$12+$D$13/100*AD$13*$M$13+$D$14/100*AD$14*$M$14+$D$15/100*AD$15*$M$15+$D$16/100*AD$16*$M$16+$D$17/100*AD$17*$M$17+$D$18/100*AD$18*$M$18+$D$19/100*AD$19*$M$19+$D$20/100*AD$20*$M$20,1)/AD$27*100)</f>
        <v/>
      </c>
      <c r="AE36" s="832" t="str">
        <f t="shared" si="40"/>
        <v/>
      </c>
      <c r="AF36" s="832" t="str">
        <f t="shared" si="40"/>
        <v/>
      </c>
      <c r="AG36" s="832" t="str">
        <f t="shared" si="40"/>
        <v/>
      </c>
      <c r="AH36" s="832" t="str">
        <f t="shared" si="40"/>
        <v/>
      </c>
      <c r="AI36" s="832" t="str">
        <f t="shared" si="40"/>
        <v/>
      </c>
      <c r="AJ36" s="832" t="str">
        <f t="shared" si="40"/>
        <v/>
      </c>
      <c r="AK36" s="832" t="str">
        <f t="shared" si="40"/>
        <v/>
      </c>
      <c r="AL36" s="810"/>
    </row>
    <row r="37" spans="1:38" ht="15.75" customHeight="1" x14ac:dyDescent="0.2">
      <c r="A37" s="806"/>
      <c r="B37" s="822"/>
      <c r="C37" s="827" t="str">
        <f>N2&amp;", g/kg TM"</f>
        <v>NFC, g/kg TM</v>
      </c>
      <c r="D37" s="828"/>
      <c r="E37" s="828"/>
      <c r="F37" s="828"/>
      <c r="G37" s="828"/>
      <c r="H37" s="828"/>
      <c r="I37" s="828"/>
      <c r="J37" s="828"/>
      <c r="K37" s="828"/>
      <c r="L37" s="828"/>
      <c r="M37" s="828"/>
      <c r="N37" s="828"/>
      <c r="O37" s="828"/>
      <c r="P37" s="828"/>
      <c r="Q37" s="828"/>
      <c r="R37" s="828"/>
      <c r="S37" s="828"/>
      <c r="T37" s="828"/>
      <c r="U37" s="828"/>
      <c r="V37" s="828"/>
      <c r="W37" s="828"/>
      <c r="X37" s="828"/>
      <c r="Y37" s="828"/>
      <c r="Z37" s="828"/>
      <c r="AA37" s="828"/>
      <c r="AB37" s="828"/>
      <c r="AC37" s="832" t="str">
        <f>IF(AC23="","",ROUND($D$3/100*AC$3*$N$3+$D$4/100*AC$4*$N$4+$D$5/100*AC$5*$N$5+$D$6/100*AC$6*$N$6+$D$7/100*AC$7*$N$7+$D$8/100*AC$8*$N$8+$D$9/100*AC$9*$N$9+$D$10/100*AC$10*$N$10+$D$11/100*AC$11*$N$11+$D$12/100*AC$12*$N$12+$D$13/100*AC$13*$N$13+$D$14/100*AC$14*$N$14+$D$15/100*AC$15*$N$15+$D$16/100*AC$16*$N$16+$D$17/100*AC$17*$N$17+$D$18/100*AC$18*$N$18+$D$19/100*AC$19*$N$19+$D$20/100*AC$20*$N$20,1)/AC$27*100)</f>
        <v/>
      </c>
      <c r="AD37" s="832" t="str">
        <f t="shared" ref="AD37:AK37" si="41">IF(AD23="","",ROUND($D$3/100*AD$3*$N$3+$D$4/100*AD$4*$N$4+$D$5/100*AD$5*$N$5+$D$6/100*AD$6*$N$6+$D$7/100*AD$7*$N$7+$D$8/100*AD$8*$N$8+$D$9/100*AD$9*$N$9+$D$10/100*AD$10*$N$10+$D$11/100*AD$11*$N$11+$D$12/100*AD$12*$N$12+$D$13/100*AD$13*$N$13+$D$14/100*AD$14*$N$14+$D$15/100*AD$15*$N$15+$D$16/100*AD$16*$N$16+$D$17/100*AD$17*$N$17+$D$18/100*AD$18*$N$18+$D$19/100*AD$19*$N$19+$D$20/100*AD$20*$N$20,1)/AD$27*100)</f>
        <v/>
      </c>
      <c r="AE37" s="832" t="str">
        <f t="shared" si="41"/>
        <v/>
      </c>
      <c r="AF37" s="832" t="str">
        <f t="shared" si="41"/>
        <v/>
      </c>
      <c r="AG37" s="832" t="str">
        <f t="shared" si="41"/>
        <v/>
      </c>
      <c r="AH37" s="832" t="str">
        <f t="shared" si="41"/>
        <v/>
      </c>
      <c r="AI37" s="832" t="str">
        <f t="shared" si="41"/>
        <v/>
      </c>
      <c r="AJ37" s="832" t="str">
        <f t="shared" si="41"/>
        <v/>
      </c>
      <c r="AK37" s="832" t="str">
        <f t="shared" si="41"/>
        <v/>
      </c>
      <c r="AL37" s="810"/>
    </row>
    <row r="38" spans="1:38" ht="15.75" customHeight="1" x14ac:dyDescent="0.2">
      <c r="A38" s="806"/>
      <c r="B38" s="822"/>
      <c r="C38" s="827" t="str">
        <f>O2&amp;", g/kg TM"</f>
        <v>XS, g/kg TM</v>
      </c>
      <c r="D38" s="828"/>
      <c r="E38" s="828"/>
      <c r="F38" s="828"/>
      <c r="G38" s="828"/>
      <c r="H38" s="828"/>
      <c r="I38" s="828"/>
      <c r="J38" s="828"/>
      <c r="K38" s="828"/>
      <c r="L38" s="828"/>
      <c r="M38" s="828"/>
      <c r="N38" s="828"/>
      <c r="O38" s="828"/>
      <c r="P38" s="828"/>
      <c r="Q38" s="828"/>
      <c r="R38" s="828"/>
      <c r="S38" s="828"/>
      <c r="T38" s="828"/>
      <c r="U38" s="828"/>
      <c r="V38" s="828"/>
      <c r="W38" s="828"/>
      <c r="X38" s="828"/>
      <c r="Y38" s="828"/>
      <c r="Z38" s="828"/>
      <c r="AA38" s="828"/>
      <c r="AB38" s="828"/>
      <c r="AC38" s="832" t="e">
        <f>ROUND($D$3/100*AC$3*$O$3+$D$4/100*AC$4*$O$4+$D$5/100*AC$5*$O$5+$D$6/100*AC$6*$O$6+$D$7/100*AC$7*$O$7+$D$8/100*AC$8*$O$8+$D$9/100*AC$9*$O$9+$D$10/100*AC$10*$O$10+$D$11/100*AC$11*$O$11+$D$12/100*AC$12*$O$12+$D$13/100*AC$13*$O$13+$D$14/100*AC$14*$O$14+$D$15/100*AC$15*$O$15+$D$16/100*AC$16*$O$16+$D$17/100*AC$17*$O$17+$D$18/100*AC$18*$O$18+$D$19/100*AC$19*$O$19+$D$20/100*AC$20*$O$20,1)/AC$27*100</f>
        <v>#DIV/0!</v>
      </c>
      <c r="AD38" s="832" t="e">
        <f t="shared" ref="AD38:AK38" si="42">ROUND($D$3/100*AD$3*$O$3+$D$4/100*AD$4*$O$4+$D$5/100*AD$5*$O$5+$D$6/100*AD$6*$O$6+$D$7/100*AD$7*$O$7+$D$8/100*AD$8*$O$8+$D$9/100*AD$9*$O$9+$D$10/100*AD$10*$O$10+$D$11/100*AD$11*$O$11+$D$12/100*AD$12*$O$12+$D$13/100*AD$13*$O$13+$D$14/100*AD$14*$O$14+$D$15/100*AD$15*$O$15+$D$16/100*AD$16*$O$16+$D$17/100*AD$17*$O$17+$D$18/100*AD$18*$O$18+$D$19/100*AD$19*$O$19+$D$20/100*AD$20*$O$20,1)/AD$27*100</f>
        <v>#DIV/0!</v>
      </c>
      <c r="AE38" s="832" t="e">
        <f t="shared" si="42"/>
        <v>#DIV/0!</v>
      </c>
      <c r="AF38" s="832" t="e">
        <f t="shared" si="42"/>
        <v>#DIV/0!</v>
      </c>
      <c r="AG38" s="832" t="e">
        <f t="shared" si="42"/>
        <v>#DIV/0!</v>
      </c>
      <c r="AH38" s="832" t="e">
        <f t="shared" si="42"/>
        <v>#DIV/0!</v>
      </c>
      <c r="AI38" s="832" t="e">
        <f t="shared" si="42"/>
        <v>#DIV/0!</v>
      </c>
      <c r="AJ38" s="832" t="e">
        <f t="shared" si="42"/>
        <v>#DIV/0!</v>
      </c>
      <c r="AK38" s="832" t="e">
        <f t="shared" si="42"/>
        <v>#DIV/0!</v>
      </c>
      <c r="AL38" s="810"/>
    </row>
    <row r="39" spans="1:38" ht="15.75" customHeight="1" x14ac:dyDescent="0.2">
      <c r="A39" s="806"/>
      <c r="B39" s="822"/>
      <c r="C39" s="827" t="str">
        <f>P2&amp;", % d. XS"</f>
        <v>bXS, % d. XS</v>
      </c>
      <c r="D39" s="828"/>
      <c r="E39" s="828"/>
      <c r="F39" s="828"/>
      <c r="G39" s="828"/>
      <c r="H39" s="828"/>
      <c r="I39" s="828"/>
      <c r="J39" s="828"/>
      <c r="K39" s="828"/>
      <c r="L39" s="828"/>
      <c r="M39" s="828"/>
      <c r="N39" s="828"/>
      <c r="O39" s="828"/>
      <c r="P39" s="828"/>
      <c r="Q39" s="828"/>
      <c r="R39" s="828"/>
      <c r="S39" s="828"/>
      <c r="T39" s="828"/>
      <c r="U39" s="828"/>
      <c r="V39" s="828"/>
      <c r="W39" s="828"/>
      <c r="X39" s="828"/>
      <c r="Y39" s="828"/>
      <c r="Z39" s="828"/>
      <c r="AA39" s="828"/>
      <c r="AB39" s="828"/>
      <c r="AC39" s="832" t="str">
        <f>IF(AC23="","",ROUND($D$3/100*AC$3*$P$3*$O$3+$D$4/100*AC$4*$P$4*$O$4+$D$5/100*AC$5*$P$5*$O$5+$D$6/100*AC$6*$P$6*$O$6+$D$7/100*AC$7*$P$7*$O$7+$D$8/100*AC$8*$P$8*$O$8+$D$9/100*AC$9*$P$9*$O$9+$D$10/100*AC$10*$P$10*$O$10+$D$11/100*AC$11*$P$11*$O$11+$D$12/100*AC$12*$P$12*$O$12+$D$13/100*AC$13*$P$13*$O$13+$D$14/100*AC$14*$P$14*$O$14+$D$15/100*AC$15*$P$15*$O$15+$D$16/100*AC$16*$P$16*$O$16+$D$17/100*AC$17*$P$17*$O$17+$D$18/100*AC$18*$P$18*$O$18+$D$19/100*AC$19*$P$19*$O$19+$D$20/100*AC$20*$P$20*$O$20,1)/AC$38*100)</f>
        <v/>
      </c>
      <c r="AD39" s="832" t="str">
        <f t="shared" ref="AD39:AK39" si="43">IF(AD23="","",ROUND($D$3/100*AD$3*$P$3*$O$3+$D$4/100*AD$4*$P$4*$O$4+$D$5/100*AD$5*$P$5*$O$5+$D$6/100*AD$6*$P$6*$O$6+$D$7/100*AD$7*$P$7*$O$7+$D$8/100*AD$8*$P$8*$O$8+$D$9/100*AD$9*$P$9*$O$9+$D$10/100*AD$10*$P$10*$O$10+$D$11/100*AD$11*$P$11*$O$11+$D$12/100*AD$12*$P$12*$O$12+$D$13/100*AD$13*$P$13*$O$13+$D$14/100*AD$14*$P$14*$O$14+$D$15/100*AD$15*$P$15*$O$15+$D$16/100*AD$16*$P$16*$O$16+$D$17/100*AD$17*$P$17*$O$17+$D$18/100*AD$18*$P$18*$O$18+$D$19/100*AD$19*$P$19*$O$19+$D$20/100*AD$20*$P$20*$O$20,1)/AD$38*100)</f>
        <v/>
      </c>
      <c r="AE39" s="832" t="str">
        <f t="shared" si="43"/>
        <v/>
      </c>
      <c r="AF39" s="832" t="str">
        <f t="shared" si="43"/>
        <v/>
      </c>
      <c r="AG39" s="832" t="str">
        <f t="shared" si="43"/>
        <v/>
      </c>
      <c r="AH39" s="832" t="str">
        <f t="shared" si="43"/>
        <v/>
      </c>
      <c r="AI39" s="832" t="str">
        <f t="shared" si="43"/>
        <v/>
      </c>
      <c r="AJ39" s="832" t="str">
        <f t="shared" si="43"/>
        <v/>
      </c>
      <c r="AK39" s="832" t="str">
        <f t="shared" si="43"/>
        <v/>
      </c>
      <c r="AL39" s="810"/>
    </row>
    <row r="40" spans="1:38" ht="15.75" customHeight="1" x14ac:dyDescent="0.2">
      <c r="A40" s="806"/>
      <c r="B40" s="822"/>
      <c r="C40" s="827" t="str">
        <f>Q2&amp;", g/kg TM"</f>
        <v>XZ, g/kg TM</v>
      </c>
      <c r="D40" s="828"/>
      <c r="E40" s="828"/>
      <c r="F40" s="828"/>
      <c r="G40" s="828"/>
      <c r="H40" s="828"/>
      <c r="I40" s="828"/>
      <c r="J40" s="828"/>
      <c r="K40" s="828"/>
      <c r="L40" s="828"/>
      <c r="M40" s="828"/>
      <c r="N40" s="828"/>
      <c r="O40" s="828"/>
      <c r="P40" s="828"/>
      <c r="Q40" s="828"/>
      <c r="R40" s="828"/>
      <c r="S40" s="828"/>
      <c r="T40" s="828"/>
      <c r="U40" s="828"/>
      <c r="V40" s="828"/>
      <c r="W40" s="828"/>
      <c r="X40" s="828"/>
      <c r="Y40" s="828"/>
      <c r="Z40" s="828"/>
      <c r="AA40" s="828"/>
      <c r="AB40" s="828"/>
      <c r="AC40" s="832" t="e">
        <f>ROUND($D$3/100*AC$3*$Q$3+$D$4/100*AC$4*$Q$4+$D$5/100*AC$5*$Q$5+$D$6/100*AC$6*$Q$6+$D$7/100*AC$7*$Q$7+$D$8/100*AC$8*$Q$8+$D$9/100*AC$9*$Q$9+$D$10/100*AC$10*$Q$10+$D$11/100*AC$11*$Q$11+$D$12/100*AC$12*$Q$12+$D$13/100*AC$13*$Q$13+$D$14/100*AC$14*$Q$14+$D$15/100*AC$15*$Q$15+$D$16/100*AC$16*$Q$16+$D$17/100*AC$17*$Q$17+$D$18/100*AC$18*$Q$18+$D$19/100*AC$19*$Q$19+$D$20/100*AC$20*$Q$20,1)/AC$27*100</f>
        <v>#DIV/0!</v>
      </c>
      <c r="AD40" s="832" t="e">
        <f t="shared" ref="AD40:AK40" si="44">ROUND($D$3/100*AD$3*$Q$3+$D$4/100*AD$4*$Q$4+$D$5/100*AD$5*$Q$5+$D$6/100*AD$6*$Q$6+$D$7/100*AD$7*$Q$7+$D$8/100*AD$8*$Q$8+$D$9/100*AD$9*$Q$9+$D$10/100*AD$10*$Q$10+$D$11/100*AD$11*$Q$11+$D$12/100*AD$12*$Q$12+$D$13/100*AD$13*$Q$13+$D$14/100*AD$14*$Q$14+$D$15/100*AD$15*$Q$15+$D$16/100*AD$16*$Q$16+$D$17/100*AD$17*$Q$17+$D$18/100*AD$18*$Q$18+$D$19/100*AD$19*$Q$19+$D$20/100*AD$20*$Q$20,1)/AD$27*100</f>
        <v>#DIV/0!</v>
      </c>
      <c r="AE40" s="832" t="e">
        <f t="shared" si="44"/>
        <v>#DIV/0!</v>
      </c>
      <c r="AF40" s="832" t="e">
        <f t="shared" si="44"/>
        <v>#DIV/0!</v>
      </c>
      <c r="AG40" s="832" t="e">
        <f t="shared" si="44"/>
        <v>#DIV/0!</v>
      </c>
      <c r="AH40" s="832" t="e">
        <f t="shared" si="44"/>
        <v>#DIV/0!</v>
      </c>
      <c r="AI40" s="832" t="e">
        <f t="shared" si="44"/>
        <v>#DIV/0!</v>
      </c>
      <c r="AJ40" s="832" t="e">
        <f t="shared" si="44"/>
        <v>#DIV/0!</v>
      </c>
      <c r="AK40" s="832" t="e">
        <f t="shared" si="44"/>
        <v>#DIV/0!</v>
      </c>
      <c r="AL40" s="810"/>
    </row>
    <row r="41" spans="1:38" ht="15.75" customHeight="1" x14ac:dyDescent="0.2">
      <c r="A41" s="806"/>
      <c r="B41" s="822"/>
      <c r="C41" s="827" t="str">
        <f>R2&amp;", g/kg TM"</f>
        <v>XS+XZ-bXS, g/kg TM</v>
      </c>
      <c r="D41" s="828"/>
      <c r="E41" s="828"/>
      <c r="F41" s="828"/>
      <c r="G41" s="828"/>
      <c r="H41" s="828"/>
      <c r="I41" s="828"/>
      <c r="J41" s="828"/>
      <c r="K41" s="828"/>
      <c r="L41" s="828"/>
      <c r="M41" s="828"/>
      <c r="N41" s="828"/>
      <c r="O41" s="828"/>
      <c r="P41" s="828"/>
      <c r="Q41" s="828"/>
      <c r="R41" s="828"/>
      <c r="S41" s="828"/>
      <c r="T41" s="828"/>
      <c r="U41" s="828"/>
      <c r="V41" s="828"/>
      <c r="W41" s="828"/>
      <c r="X41" s="828"/>
      <c r="Y41" s="828"/>
      <c r="Z41" s="828"/>
      <c r="AA41" s="828"/>
      <c r="AB41" s="828"/>
      <c r="AC41" s="832" t="e">
        <f>ROUND($D$3/100*AC$3*$R$3+$D$4/100*AC$4*$R$4+$D$5/100*AC$5*$R$5+$D$6/100*AC$6*$R$6+$D$7/100*AC$7*$R$7+$D$8/100*AC$8*$R$8+$D$9/100*AC$9*$R$9+$D$10/100*AC$10*$R$10+$D$11/100*AC$11*$R$11+$D$12/100*AC$12*$R$12+$D$13/100*AC$13*$R$13+$D$14/100*AC$14*$R$14+$D$15/100*AC$15*$R$15+$D$16/100*AC$16*$R$16+$D$17/100*AC$17*$R$17+$D$18/100*AC$18*$R$18+$D$19/100*AC$19*$R$19+$D$20/100*AC$20*$R$20,1)/AC$27*100</f>
        <v>#DIV/0!</v>
      </c>
      <c r="AD41" s="832" t="e">
        <f t="shared" ref="AD41:AK41" si="45">ROUND($D$3/100*AD$3*$R$3+$D$4/100*AD$4*$R$4+$D$5/100*AD$5*$R$5+$D$6/100*AD$6*$R$6+$D$7/100*AD$7*$R$7+$D$8/100*AD$8*$R$8+$D$9/100*AD$9*$R$9+$D$10/100*AD$10*$R$10+$D$11/100*AD$11*$R$11+$D$12/100*AD$12*$R$12+$D$13/100*AD$13*$R$13+$D$14/100*AD$14*$R$14+$D$15/100*AD$15*$R$15+$D$16/100*AD$16*$R$16+$D$17/100*AD$17*$R$17+$D$18/100*AD$18*$R$18+$D$19/100*AD$19*$R$19+$D$20/100*AD$20*$R$20,1)/AD$27*100</f>
        <v>#DIV/0!</v>
      </c>
      <c r="AE41" s="832" t="e">
        <f t="shared" si="45"/>
        <v>#DIV/0!</v>
      </c>
      <c r="AF41" s="832" t="e">
        <f t="shared" si="45"/>
        <v>#DIV/0!</v>
      </c>
      <c r="AG41" s="832" t="e">
        <f t="shared" si="45"/>
        <v>#DIV/0!</v>
      </c>
      <c r="AH41" s="832" t="e">
        <f t="shared" si="45"/>
        <v>#DIV/0!</v>
      </c>
      <c r="AI41" s="832" t="e">
        <f t="shared" si="45"/>
        <v>#DIV/0!</v>
      </c>
      <c r="AJ41" s="832" t="e">
        <f t="shared" si="45"/>
        <v>#DIV/0!</v>
      </c>
      <c r="AK41" s="832" t="e">
        <f t="shared" si="45"/>
        <v>#DIV/0!</v>
      </c>
      <c r="AL41" s="810"/>
    </row>
    <row r="42" spans="1:38" ht="15.75" customHeight="1" x14ac:dyDescent="0.2">
      <c r="A42" s="806"/>
      <c r="B42" s="822"/>
      <c r="C42" s="827" t="str">
        <f>S2&amp;", g/kg TM"</f>
        <v>XL, g/kg TM</v>
      </c>
      <c r="D42" s="828"/>
      <c r="E42" s="828"/>
      <c r="F42" s="828"/>
      <c r="G42" s="828"/>
      <c r="H42" s="828"/>
      <c r="I42" s="828"/>
      <c r="J42" s="828"/>
      <c r="K42" s="828"/>
      <c r="L42" s="828"/>
      <c r="M42" s="828"/>
      <c r="N42" s="828"/>
      <c r="O42" s="828"/>
      <c r="P42" s="828"/>
      <c r="Q42" s="828"/>
      <c r="R42" s="828"/>
      <c r="S42" s="828"/>
      <c r="T42" s="828"/>
      <c r="U42" s="828"/>
      <c r="V42" s="828"/>
      <c r="W42" s="828"/>
      <c r="X42" s="828"/>
      <c r="Y42" s="828"/>
      <c r="Z42" s="828"/>
      <c r="AA42" s="828"/>
      <c r="AB42" s="828"/>
      <c r="AC42" s="832" t="e">
        <f>ROUND($D$3/100*AC$3*$S$3+$D$4/100*AC$4*$S$4+$D$5/100*AC$5*$S$5+$D$6/100*AC$6*$S$6+$D$7/100*AC$7*$S$7+$D$8/100*AC$8*$S$8+$D$9/100*AC$9*$S$9+$D$10/100*AC$10*$S$10+$D$11/100*AC$11*$S$11+$D$12/100*AC$12*$S$12+$D$13/100*AC$13*$S$13+$D$14/100*AC$14*$S$14+$D$15/100*AC$15*$S$15+$D$16/100*AC$16*$S$16+$D$17/100*AC$17*$S$17+$D$18/100*AC$18*$S$18+$D$19/100*AC$19*$S$19+$D$20/100*AC$20*$S$20,1)/AC$27*100</f>
        <v>#DIV/0!</v>
      </c>
      <c r="AD42" s="832" t="e">
        <f t="shared" ref="AD42:AK42" si="46">ROUND($D$3/100*AD$3*$S$3+$D$4/100*AD$4*$S$4+$D$5/100*AD$5*$S$5+$D$6/100*AD$6*$S$6+$D$7/100*AD$7*$S$7+$D$8/100*AD$8*$S$8+$D$9/100*AD$9*$S$9+$D$10/100*AD$10*$S$10+$D$11/100*AD$11*$S$11+$D$12/100*AD$12*$S$12+$D$13/100*AD$13*$S$13+$D$14/100*AD$14*$S$14+$D$15/100*AD$15*$S$15+$D$16/100*AD$16*$S$16+$D$17/100*AD$17*$S$17+$D$18/100*AD$18*$S$18+$D$19/100*AD$19*$S$19+$D$20/100*AD$20*$S$20,1)/AD$27*100</f>
        <v>#DIV/0!</v>
      </c>
      <c r="AE42" s="832" t="e">
        <f t="shared" si="46"/>
        <v>#DIV/0!</v>
      </c>
      <c r="AF42" s="832" t="e">
        <f t="shared" si="46"/>
        <v>#DIV/0!</v>
      </c>
      <c r="AG42" s="832" t="e">
        <f t="shared" si="46"/>
        <v>#DIV/0!</v>
      </c>
      <c r="AH42" s="832" t="e">
        <f t="shared" si="46"/>
        <v>#DIV/0!</v>
      </c>
      <c r="AI42" s="832" t="e">
        <f t="shared" si="46"/>
        <v>#DIV/0!</v>
      </c>
      <c r="AJ42" s="832" t="e">
        <f t="shared" si="46"/>
        <v>#DIV/0!</v>
      </c>
      <c r="AK42" s="832" t="e">
        <f t="shared" si="46"/>
        <v>#DIV/0!</v>
      </c>
      <c r="AL42" s="810"/>
    </row>
    <row r="43" spans="1:38" ht="15.75" hidden="1" customHeight="1" x14ac:dyDescent="0.2">
      <c r="A43" s="806"/>
      <c r="B43" s="822"/>
      <c r="C43" s="827" t="e">
        <f>#REF!&amp;", g/kg TM"</f>
        <v>#REF!</v>
      </c>
      <c r="D43" s="828"/>
      <c r="E43" s="828"/>
      <c r="F43" s="828"/>
      <c r="G43" s="828"/>
      <c r="H43" s="828"/>
      <c r="I43" s="828"/>
      <c r="J43" s="828"/>
      <c r="K43" s="828"/>
      <c r="L43" s="828"/>
      <c r="M43" s="828"/>
      <c r="N43" s="828"/>
      <c r="O43" s="828"/>
      <c r="P43" s="828"/>
      <c r="Q43" s="828"/>
      <c r="R43" s="828"/>
      <c r="S43" s="828"/>
      <c r="T43" s="828"/>
      <c r="U43" s="828"/>
      <c r="V43" s="828"/>
      <c r="W43" s="828"/>
      <c r="X43" s="828"/>
      <c r="Y43" s="828"/>
      <c r="Z43" s="828"/>
      <c r="AA43" s="828"/>
      <c r="AB43" s="828"/>
      <c r="AC43" s="830" t="e">
        <f t="shared" ref="AC43:AK44" si="47">ROUND($D$3/100*AC$3*$I$3+$D$4/100*AC$4*$I$4+$D$5/100*AC$5*$I$5+$D$6/100*AC$6*$I$6+$D$7/100*AC$7*$I$7+$D$8/100*AC$8*$I$8+$D$9/100*AC$9*$I$9+$D$10/100*AC$10*$I$10+$D$11/100*AC$11*$I$11+$D$12/100*AC$12*$I$12+$D$13/100*AC$13*$I$13+$D$14/100*AC$14*$I$14+$D$15/100*AC$15*$I$15+$D$16/100*AC$16*$I$16+$D$17/100*AC$17*$I$17+$D$18/100*AC$18*$I$18+$D$19/100*AC$19*$I$19+$D$20/100*AC$20*$I$20,1)/AC$27*100</f>
        <v>#DIV/0!</v>
      </c>
      <c r="AD43" s="830" t="e">
        <f t="shared" si="47"/>
        <v>#DIV/0!</v>
      </c>
      <c r="AE43" s="830" t="e">
        <f t="shared" si="47"/>
        <v>#DIV/0!</v>
      </c>
      <c r="AF43" s="830" t="e">
        <f t="shared" si="47"/>
        <v>#DIV/0!</v>
      </c>
      <c r="AG43" s="830" t="e">
        <f t="shared" si="47"/>
        <v>#DIV/0!</v>
      </c>
      <c r="AH43" s="830" t="e">
        <f t="shared" si="47"/>
        <v>#DIV/0!</v>
      </c>
      <c r="AI43" s="830" t="e">
        <f t="shared" si="47"/>
        <v>#DIV/0!</v>
      </c>
      <c r="AJ43" s="830" t="e">
        <f t="shared" si="47"/>
        <v>#DIV/0!</v>
      </c>
      <c r="AK43" s="830" t="e">
        <f t="shared" si="47"/>
        <v>#DIV/0!</v>
      </c>
      <c r="AL43" s="810"/>
    </row>
    <row r="44" spans="1:38" ht="15.75" hidden="1" customHeight="1" x14ac:dyDescent="0.2">
      <c r="A44" s="806"/>
      <c r="B44" s="822"/>
      <c r="C44" s="827" t="e">
        <f>#REF!&amp;", g/kg TM"</f>
        <v>#REF!</v>
      </c>
      <c r="D44" s="828"/>
      <c r="E44" s="828"/>
      <c r="F44" s="828"/>
      <c r="G44" s="828"/>
      <c r="H44" s="828"/>
      <c r="I44" s="828"/>
      <c r="J44" s="828"/>
      <c r="K44" s="828"/>
      <c r="L44" s="828"/>
      <c r="M44" s="828"/>
      <c r="N44" s="828"/>
      <c r="O44" s="828"/>
      <c r="P44" s="828"/>
      <c r="Q44" s="828"/>
      <c r="R44" s="828"/>
      <c r="S44" s="828"/>
      <c r="T44" s="828"/>
      <c r="U44" s="828"/>
      <c r="V44" s="828"/>
      <c r="W44" s="828"/>
      <c r="X44" s="828"/>
      <c r="Y44" s="828"/>
      <c r="Z44" s="828"/>
      <c r="AA44" s="828"/>
      <c r="AB44" s="828"/>
      <c r="AC44" s="830" t="e">
        <f t="shared" si="47"/>
        <v>#DIV/0!</v>
      </c>
      <c r="AD44" s="830" t="e">
        <f t="shared" si="47"/>
        <v>#DIV/0!</v>
      </c>
      <c r="AE44" s="830" t="e">
        <f t="shared" si="47"/>
        <v>#DIV/0!</v>
      </c>
      <c r="AF44" s="830" t="e">
        <f t="shared" si="47"/>
        <v>#DIV/0!</v>
      </c>
      <c r="AG44" s="830" t="e">
        <f t="shared" si="47"/>
        <v>#DIV/0!</v>
      </c>
      <c r="AH44" s="830" t="e">
        <f t="shared" si="47"/>
        <v>#DIV/0!</v>
      </c>
      <c r="AI44" s="830" t="e">
        <f t="shared" si="47"/>
        <v>#DIV/0!</v>
      </c>
      <c r="AJ44" s="830" t="e">
        <f t="shared" si="47"/>
        <v>#DIV/0!</v>
      </c>
      <c r="AK44" s="830" t="e">
        <f t="shared" si="47"/>
        <v>#DIV/0!</v>
      </c>
      <c r="AL44" s="810"/>
    </row>
    <row r="45" spans="1:38" ht="15.75" customHeight="1" x14ac:dyDescent="0.2">
      <c r="A45" s="806"/>
      <c r="B45" s="822"/>
      <c r="C45" s="827" t="str">
        <f>T2&amp;", g/kg TM"</f>
        <v>XA, g/kg TM</v>
      </c>
      <c r="D45" s="828"/>
      <c r="E45" s="828"/>
      <c r="F45" s="828"/>
      <c r="G45" s="828"/>
      <c r="H45" s="828"/>
      <c r="I45" s="828"/>
      <c r="J45" s="828"/>
      <c r="K45" s="828"/>
      <c r="L45" s="828"/>
      <c r="M45" s="828"/>
      <c r="N45" s="828"/>
      <c r="O45" s="828"/>
      <c r="P45" s="828"/>
      <c r="Q45" s="828"/>
      <c r="R45" s="828"/>
      <c r="S45" s="828"/>
      <c r="T45" s="828"/>
      <c r="U45" s="828"/>
      <c r="V45" s="828"/>
      <c r="W45" s="828"/>
      <c r="X45" s="828"/>
      <c r="Y45" s="828"/>
      <c r="Z45" s="828"/>
      <c r="AA45" s="828"/>
      <c r="AB45" s="828"/>
      <c r="AC45" s="832" t="str">
        <f>IF(AC23="","",ROUND($D$3/100*AC$3*$T$3+$D$4/100*AC$4*$T$4+$D$5/100*AC$5*$T$5+$D$6/100*AC$6*$T$6+$D$7/100*AC$7*$T$7+$D$8/100*AC$8*$T$8+$D$9/100*AC$9*$T$9+$D$10/100*AC$10*$T$10+$D$11/100*AC$11*$T$11+$D$12/100*AC$12*$T$12+$D$13/100*AC$13*$T$13+$D$14/100*AC$14*$T$14+$D$15/100*AC$15*$T$15+$D$16/100*AC$16*$T$16+$D$17/100*AC$17*$T$17+$D$18/100*AC$18*$T$18+$D$19/100*AC$19*$T$19+$D$20/100*AC$20*$T$20,1)/AC$27*100)</f>
        <v/>
      </c>
      <c r="AD45" s="832" t="str">
        <f t="shared" ref="AD45:AK45" si="48">IF(AD23="","",ROUND($D$3/100*AD$3*$T$3+$D$4/100*AD$4*$T$4+$D$5/100*AD$5*$T$5+$D$6/100*AD$6*$T$6+$D$7/100*AD$7*$T$7+$D$8/100*AD$8*$T$8+$D$9/100*AD$9*$T$9+$D$10/100*AD$10*$T$10+$D$11/100*AD$11*$T$11+$D$12/100*AD$12*$T$12+$D$13/100*AD$13*$T$13+$D$14/100*AD$14*$T$14+$D$15/100*AD$15*$T$15+$D$16/100*AD$16*$T$16+$D$17/100*AD$17*$T$17+$D$18/100*AD$18*$T$18+$D$19/100*AD$19*$T$19+$D$20/100*AD$20*$T$20,1)/AD$27*100)</f>
        <v/>
      </c>
      <c r="AE45" s="832" t="str">
        <f t="shared" si="48"/>
        <v/>
      </c>
      <c r="AF45" s="832" t="str">
        <f t="shared" si="48"/>
        <v/>
      </c>
      <c r="AG45" s="832" t="str">
        <f t="shared" si="48"/>
        <v/>
      </c>
      <c r="AH45" s="832" t="str">
        <f t="shared" si="48"/>
        <v/>
      </c>
      <c r="AI45" s="832" t="str">
        <f t="shared" si="48"/>
        <v/>
      </c>
      <c r="AJ45" s="832" t="str">
        <f t="shared" si="48"/>
        <v/>
      </c>
      <c r="AK45" s="832" t="str">
        <f t="shared" si="48"/>
        <v/>
      </c>
      <c r="AL45" s="810"/>
    </row>
    <row r="46" spans="1:38" ht="15.75" customHeight="1" x14ac:dyDescent="0.2">
      <c r="A46" s="806"/>
      <c r="B46" s="822"/>
      <c r="C46" s="827" t="str">
        <f>U2&amp;", g/kg TM"</f>
        <v>Ca, g/kg TM</v>
      </c>
      <c r="D46" s="828"/>
      <c r="E46" s="828"/>
      <c r="F46" s="828"/>
      <c r="G46" s="828"/>
      <c r="H46" s="828"/>
      <c r="I46" s="828"/>
      <c r="J46" s="828"/>
      <c r="K46" s="828"/>
      <c r="L46" s="828"/>
      <c r="M46" s="828"/>
      <c r="N46" s="828"/>
      <c r="O46" s="828"/>
      <c r="P46" s="828"/>
      <c r="Q46" s="828"/>
      <c r="R46" s="828"/>
      <c r="S46" s="828"/>
      <c r="T46" s="828"/>
      <c r="U46" s="828"/>
      <c r="V46" s="828"/>
      <c r="W46" s="828"/>
      <c r="X46" s="828"/>
      <c r="Y46" s="828"/>
      <c r="Z46" s="828"/>
      <c r="AA46" s="828"/>
      <c r="AB46" s="828"/>
      <c r="AC46" s="830" t="e">
        <f>ROUND($D$3/100*AC$3*$U$3+$D$4/100*AC$4*$U$4+$D$5/100*AC$5*$U$5+$D$6/100*AC$6*$U$6+$D$7/100*AC$7*$U$7+$D$8/100*AC$8*$U$8+$D$9/100*AC$9*$U$9+$D$10/100*AC$10*$U$10+$D$11/100*AC$11*$U$11+$D$12/100*AC$12*$U$12+$D$13/100*AC$13*$U$13+$D$14/100*AC$14*$U$14+$D$15/100*AC$15*$U$15+$D$16/100*AC$16*$U$16+$D$17/100*AC$17*$U$17+$D$18/100*AC$18*$U$18+$D$19/100*AC$19*$U$19+$D$20/100*AC$20*$U$20,1)/AC$27*100</f>
        <v>#DIV/0!</v>
      </c>
      <c r="AD46" s="830" t="e">
        <f t="shared" ref="AD46:AK46" si="49">ROUND($D$3/100*AD$3*$U$3+$D$4/100*AD$4*$U$4+$D$5/100*AD$5*$U$5+$D$6/100*AD$6*$U$6+$D$7/100*AD$7*$U$7+$D$8/100*AD$8*$U$8+$D$9/100*AD$9*$U$9+$D$10/100*AD$10*$U$10+$D$11/100*AD$11*$U$11+$D$12/100*AD$12*$U$12+$D$13/100*AD$13*$U$13+$D$14/100*AD$14*$U$14+$D$15/100*AD$15*$U$15+$D$16/100*AD$16*$U$16+$D$17/100*AD$17*$U$17+$D$18/100*AD$18*$U$18+$D$19/100*AD$19*$U$19+$D$20/100*AD$20*$U$20,1)/AD$27*100</f>
        <v>#DIV/0!</v>
      </c>
      <c r="AE46" s="830" t="e">
        <f t="shared" si="49"/>
        <v>#DIV/0!</v>
      </c>
      <c r="AF46" s="830" t="e">
        <f t="shared" si="49"/>
        <v>#DIV/0!</v>
      </c>
      <c r="AG46" s="830" t="e">
        <f t="shared" si="49"/>
        <v>#DIV/0!</v>
      </c>
      <c r="AH46" s="830" t="e">
        <f t="shared" si="49"/>
        <v>#DIV/0!</v>
      </c>
      <c r="AI46" s="830" t="e">
        <f t="shared" si="49"/>
        <v>#DIV/0!</v>
      </c>
      <c r="AJ46" s="830" t="e">
        <f t="shared" si="49"/>
        <v>#DIV/0!</v>
      </c>
      <c r="AK46" s="830" t="e">
        <f t="shared" si="49"/>
        <v>#DIV/0!</v>
      </c>
      <c r="AL46" s="810"/>
    </row>
    <row r="47" spans="1:38" ht="15.75" customHeight="1" x14ac:dyDescent="0.2">
      <c r="A47" s="806"/>
      <c r="B47" s="822"/>
      <c r="C47" s="827" t="str">
        <f>V2&amp;", g/kg TM"</f>
        <v>P, g/kg TM</v>
      </c>
      <c r="D47" s="828"/>
      <c r="E47" s="828"/>
      <c r="F47" s="828"/>
      <c r="G47" s="828"/>
      <c r="H47" s="828"/>
      <c r="I47" s="828"/>
      <c r="J47" s="828"/>
      <c r="K47" s="828"/>
      <c r="L47" s="828"/>
      <c r="M47" s="828"/>
      <c r="N47" s="828"/>
      <c r="O47" s="828"/>
      <c r="P47" s="828"/>
      <c r="Q47" s="828"/>
      <c r="R47" s="828"/>
      <c r="S47" s="828"/>
      <c r="T47" s="828"/>
      <c r="U47" s="828"/>
      <c r="V47" s="828"/>
      <c r="W47" s="828"/>
      <c r="X47" s="828"/>
      <c r="Y47" s="828"/>
      <c r="Z47" s="828"/>
      <c r="AA47" s="828"/>
      <c r="AB47" s="828"/>
      <c r="AC47" s="830" t="e">
        <f>ROUND($D$3/100*AC$3*$V$3+$D$4/100*AC$4*$V$4+$D$5/100*AC$5*$V$5+$D$6/100*AC$6*$V$6+$D$7/100*AC$7*$V$7+$D$8/100*AC$8*$V$8+$D$9/100*AC$9*$V$9+$D$10/100*AC$10*$V$10+$D$11/100*AC$11*$V$11+$D$12/100*AC$12*$V$12+$D$13/100*AC$13*$V$13+$D$14/100*AC$14*$V$14+$D$15/100*AC$15*$V$15+$D$16/100*AC$16*$V$16+$D$17/100*AC$17*$V$17+$D$18/100*AC$18*$V$18+$D$19/100*AC$19*$V$19+$D$20/100*AC$20*$V$20,1)/AC$27*100</f>
        <v>#DIV/0!</v>
      </c>
      <c r="AD47" s="830" t="e">
        <f t="shared" ref="AD47:AK47" si="50">ROUND($D$3/100*AD$3*$V$3+$D$4/100*AD$4*$V$4+$D$5/100*AD$5*$V$5+$D$6/100*AD$6*$V$6+$D$7/100*AD$7*$V$7+$D$8/100*AD$8*$V$8+$D$9/100*AD$9*$V$9+$D$10/100*AD$10*$V$10+$D$11/100*AD$11*$V$11+$D$12/100*AD$12*$V$12+$D$13/100*AD$13*$V$13+$D$14/100*AD$14*$V$14+$D$15/100*AD$15*$V$15+$D$16/100*AD$16*$V$16+$D$17/100*AD$17*$V$17+$D$18/100*AD$18*$V$18+$D$19/100*AD$19*$V$19+$D$20/100*AD$20*$V$20,1)/AD$27*100</f>
        <v>#DIV/0!</v>
      </c>
      <c r="AE47" s="830" t="e">
        <f t="shared" si="50"/>
        <v>#DIV/0!</v>
      </c>
      <c r="AF47" s="830" t="e">
        <f t="shared" si="50"/>
        <v>#DIV/0!</v>
      </c>
      <c r="AG47" s="830" t="e">
        <f t="shared" si="50"/>
        <v>#DIV/0!</v>
      </c>
      <c r="AH47" s="830" t="e">
        <f t="shared" si="50"/>
        <v>#DIV/0!</v>
      </c>
      <c r="AI47" s="830" t="e">
        <f t="shared" si="50"/>
        <v>#DIV/0!</v>
      </c>
      <c r="AJ47" s="830" t="e">
        <f t="shared" si="50"/>
        <v>#DIV/0!</v>
      </c>
      <c r="AK47" s="830" t="e">
        <f t="shared" si="50"/>
        <v>#DIV/0!</v>
      </c>
      <c r="AL47" s="810"/>
    </row>
    <row r="48" spans="1:38" ht="15.75" customHeight="1" x14ac:dyDescent="0.2">
      <c r="A48" s="806"/>
      <c r="B48" s="822"/>
      <c r="C48" s="827" t="str">
        <f>W2&amp;", g/kg TM"</f>
        <v>Na, g/kg TM</v>
      </c>
      <c r="D48" s="828"/>
      <c r="E48" s="828"/>
      <c r="F48" s="828"/>
      <c r="G48" s="828"/>
      <c r="H48" s="828"/>
      <c r="I48" s="828"/>
      <c r="J48" s="828"/>
      <c r="K48" s="828"/>
      <c r="L48" s="828"/>
      <c r="M48" s="828"/>
      <c r="N48" s="828"/>
      <c r="O48" s="828"/>
      <c r="P48" s="828"/>
      <c r="Q48" s="828"/>
      <c r="R48" s="828"/>
      <c r="S48" s="828"/>
      <c r="T48" s="828"/>
      <c r="U48" s="828"/>
      <c r="V48" s="828"/>
      <c r="W48" s="828"/>
      <c r="X48" s="828"/>
      <c r="Y48" s="828"/>
      <c r="Z48" s="828"/>
      <c r="AA48" s="828"/>
      <c r="AB48" s="828"/>
      <c r="AC48" s="830" t="e">
        <f>ROUND($D$3/100*AC$3*$W$3+$D$4/100*AC$4*$W$4+$D$5/100*AC$5*$W$5+$D$6/100*AC$6*$W$6+$D$7/100*AC$7*$W$7+$D$8/100*AC$8*$W$8+$D$9/100*AC$9*$W$9+$D$10/100*AC$10*$W$10+$D$11/100*AC$11*$W$11+$D$12/100*AC$12*$W$12+$D$13/100*AC$13*$W$13+$D$14/100*AC$14*$W$14+$D$15/100*AC$15*$W$15+$D$16/100*AC$16*$W$16+$D$17/100*AC$17*$W$17+$D$18/100*AC$18*$W$18+$D$19/100*AC$19*$W$19+$D$20/100*AC$20*$W$20,1)/AC$27*100</f>
        <v>#DIV/0!</v>
      </c>
      <c r="AD48" s="830" t="e">
        <f t="shared" ref="AD48:AK48" si="51">ROUND($D$3/100*AD$3*$W$3+$D$4/100*AD$4*$W$4+$D$5/100*AD$5*$W$5+$D$6/100*AD$6*$W$6+$D$7/100*AD$7*$W$7+$D$8/100*AD$8*$W$8+$D$9/100*AD$9*$W$9+$D$10/100*AD$10*$W$10+$D$11/100*AD$11*$W$11+$D$12/100*AD$12*$W$12+$D$13/100*AD$13*$W$13+$D$14/100*AD$14*$W$14+$D$15/100*AD$15*$W$15+$D$16/100*AD$16*$W$16+$D$17/100*AD$17*$W$17+$D$18/100*AD$18*$W$18+$D$19/100*AD$19*$W$19+$D$20/100*AD$20*$W$20,1)/AD$27*100</f>
        <v>#DIV/0!</v>
      </c>
      <c r="AE48" s="830" t="e">
        <f t="shared" si="51"/>
        <v>#DIV/0!</v>
      </c>
      <c r="AF48" s="830" t="e">
        <f t="shared" si="51"/>
        <v>#DIV/0!</v>
      </c>
      <c r="AG48" s="830" t="e">
        <f t="shared" si="51"/>
        <v>#DIV/0!</v>
      </c>
      <c r="AH48" s="830" t="e">
        <f t="shared" si="51"/>
        <v>#DIV/0!</v>
      </c>
      <c r="AI48" s="830" t="e">
        <f t="shared" si="51"/>
        <v>#DIV/0!</v>
      </c>
      <c r="AJ48" s="830" t="e">
        <f t="shared" si="51"/>
        <v>#DIV/0!</v>
      </c>
      <c r="AK48" s="830" t="e">
        <f t="shared" si="51"/>
        <v>#DIV/0!</v>
      </c>
      <c r="AL48" s="810"/>
    </row>
    <row r="49" spans="1:38" ht="15.75" customHeight="1" x14ac:dyDescent="0.2">
      <c r="A49" s="806"/>
      <c r="B49" s="822"/>
      <c r="C49" s="827" t="str">
        <f>X2&amp;", mg/kg TM"</f>
        <v>Mg, mg/kg TM</v>
      </c>
      <c r="D49" s="828"/>
      <c r="E49" s="828"/>
      <c r="F49" s="828"/>
      <c r="G49" s="828"/>
      <c r="H49" s="828"/>
      <c r="I49" s="828"/>
      <c r="J49" s="828"/>
      <c r="K49" s="828"/>
      <c r="L49" s="828"/>
      <c r="M49" s="828"/>
      <c r="N49" s="828"/>
      <c r="O49" s="828"/>
      <c r="P49" s="828"/>
      <c r="Q49" s="828"/>
      <c r="R49" s="828"/>
      <c r="S49" s="828"/>
      <c r="T49" s="828"/>
      <c r="U49" s="828"/>
      <c r="V49" s="828"/>
      <c r="W49" s="828"/>
      <c r="X49" s="828"/>
      <c r="Y49" s="828"/>
      <c r="Z49" s="828"/>
      <c r="AA49" s="828"/>
      <c r="AB49" s="828"/>
      <c r="AC49" s="830" t="e">
        <f>ROUND($D$3/100*AC$3*$X$3+$D$4/100*AC$4*$X$4+$D$5/100*AC$5*$X$5+$D$6/100*AC$6*$X$6+$D$7/100*AC$7*$X$7+$D$8/100*AC$8*$X$8+$D$9/100*AC$9*$X$9+$D$10/100*AC$10*$X$10+$D$11/100*AC$11*$X$11+$D$12/100*AC$12*$X$12+$D$13/100*AC$13*$X$13+$D$14/100*AC$14*$X$14+$D$15/100*AC$15*$X$15+$D$16/100*AC$16*$X$16+$D$17/100*AC$17*$X$17+$D$18/100*AC$18*$X$18+$D$19/100*AC$19*$X$19+$D$20/100*AC$20*$X$20,1)/AC$27*100</f>
        <v>#DIV/0!</v>
      </c>
      <c r="AD49" s="830" t="e">
        <f t="shared" ref="AD49:AK49" si="52">ROUND($D$3/100*AD$3*$X$3+$D$4/100*AD$4*$X$4+$D$5/100*AD$5*$X$5+$D$6/100*AD$6*$X$6+$D$7/100*AD$7*$X$7+$D$8/100*AD$8*$X$8+$D$9/100*AD$9*$X$9+$D$10/100*AD$10*$X$10+$D$11/100*AD$11*$X$11+$D$12/100*AD$12*$X$12+$D$13/100*AD$13*$X$13+$D$14/100*AD$14*$X$14+$D$15/100*AD$15*$X$15+$D$16/100*AD$16*$X$16+$D$17/100*AD$17*$X$17+$D$18/100*AD$18*$X$18+$D$19/100*AD$19*$X$19+$D$20/100*AD$20*$X$20,1)/AD$27*100</f>
        <v>#DIV/0!</v>
      </c>
      <c r="AE49" s="830" t="e">
        <f t="shared" si="52"/>
        <v>#DIV/0!</v>
      </c>
      <c r="AF49" s="830" t="e">
        <f t="shared" si="52"/>
        <v>#DIV/0!</v>
      </c>
      <c r="AG49" s="830" t="e">
        <f t="shared" si="52"/>
        <v>#DIV/0!</v>
      </c>
      <c r="AH49" s="830" t="e">
        <f t="shared" si="52"/>
        <v>#DIV/0!</v>
      </c>
      <c r="AI49" s="830" t="e">
        <f t="shared" si="52"/>
        <v>#DIV/0!</v>
      </c>
      <c r="AJ49" s="830" t="e">
        <f t="shared" si="52"/>
        <v>#DIV/0!</v>
      </c>
      <c r="AK49" s="830" t="e">
        <f t="shared" si="52"/>
        <v>#DIV/0!</v>
      </c>
      <c r="AL49" s="810"/>
    </row>
    <row r="50" spans="1:38" ht="15.75" customHeight="1" x14ac:dyDescent="0.2">
      <c r="A50" s="806"/>
      <c r="B50" s="822"/>
      <c r="C50" s="827" t="str">
        <f>Y2&amp;", mg/kg TM"</f>
        <v>K, mg/kg TM</v>
      </c>
      <c r="D50" s="828"/>
      <c r="E50" s="828"/>
      <c r="F50" s="828"/>
      <c r="G50" s="828"/>
      <c r="H50" s="828"/>
      <c r="I50" s="828"/>
      <c r="J50" s="828"/>
      <c r="K50" s="828"/>
      <c r="L50" s="828"/>
      <c r="M50" s="828"/>
      <c r="N50" s="828"/>
      <c r="O50" s="828"/>
      <c r="P50" s="828"/>
      <c r="Q50" s="828"/>
      <c r="R50" s="828"/>
      <c r="S50" s="828"/>
      <c r="T50" s="828"/>
      <c r="U50" s="828"/>
      <c r="V50" s="828"/>
      <c r="W50" s="828"/>
      <c r="X50" s="828"/>
      <c r="Y50" s="828"/>
      <c r="Z50" s="828"/>
      <c r="AA50" s="828"/>
      <c r="AB50" s="828"/>
      <c r="AC50" s="830" t="e">
        <f>ROUND($D$3/100*AC$3*$Y$3+$D$4/100*AC$4*$Y$4+$D$5/100*AC$5*$Y$5+$D$6/100*AC$6*$Y$6+$D$7/100*AC$7*$Y$7+$D$8/100*AC$8*$Y$8+$D$9/100*AC$9*$Y$9+$D$10/100*AC$10*$Y$10+$D$11/100*AC$11*$Y$11+$D$12/100*AC$12*$Y$12+$D$13/100*AC$13*$Y$13+$D$14/100*AC$14*$Y$14+$D$15/100*AC$15*$Y$15+$D$16/100*AC$16*$Y$16+$D$17/100*AC$17*$Y$17+$D$18/100*AC$18*$Y$18+$D$19/100*AC$19*$Y$19+$D$20/100*AC$20*$Y$20,1)/AC$27*100</f>
        <v>#DIV/0!</v>
      </c>
      <c r="AD50" s="830" t="e">
        <f t="shared" ref="AD50:AK50" si="53">ROUND($D$3/100*AD$3*$Y$3+$D$4/100*AD$4*$Y$4+$D$5/100*AD$5*$Y$5+$D$6/100*AD$6*$Y$6+$D$7/100*AD$7*$Y$7+$D$8/100*AD$8*$Y$8+$D$9/100*AD$9*$Y$9+$D$10/100*AD$10*$Y$10+$D$11/100*AD$11*$Y$11+$D$12/100*AD$12*$Y$12+$D$13/100*AD$13*$Y$13+$D$14/100*AD$14*$Y$14+$D$15/100*AD$15*$Y$15+$D$16/100*AD$16*$Y$16+$D$17/100*AD$17*$Y$17+$D$18/100*AD$18*$Y$18+$D$19/100*AD$19*$Y$19+$D$20/100*AD$20*$Y$20,1)/AD$27*100</f>
        <v>#DIV/0!</v>
      </c>
      <c r="AE50" s="830" t="e">
        <f t="shared" si="53"/>
        <v>#DIV/0!</v>
      </c>
      <c r="AF50" s="830" t="e">
        <f t="shared" si="53"/>
        <v>#DIV/0!</v>
      </c>
      <c r="AG50" s="830" t="e">
        <f t="shared" si="53"/>
        <v>#DIV/0!</v>
      </c>
      <c r="AH50" s="830" t="e">
        <f t="shared" si="53"/>
        <v>#DIV/0!</v>
      </c>
      <c r="AI50" s="830" t="e">
        <f t="shared" si="53"/>
        <v>#DIV/0!</v>
      </c>
      <c r="AJ50" s="830" t="e">
        <f t="shared" si="53"/>
        <v>#DIV/0!</v>
      </c>
      <c r="AK50" s="830" t="e">
        <f t="shared" si="53"/>
        <v>#DIV/0!</v>
      </c>
      <c r="AL50" s="810"/>
    </row>
    <row r="51" spans="1:38" ht="15.75" customHeight="1" x14ac:dyDescent="0.2">
      <c r="A51" s="806"/>
      <c r="B51" s="822"/>
      <c r="C51" s="827" t="str">
        <f>Z2&amp;", mg/kg TM"</f>
        <v>Se, mg/kg TM</v>
      </c>
      <c r="D51" s="828"/>
      <c r="E51" s="828"/>
      <c r="F51" s="828"/>
      <c r="G51" s="828"/>
      <c r="H51" s="828"/>
      <c r="I51" s="828"/>
      <c r="J51" s="828"/>
      <c r="K51" s="828"/>
      <c r="L51" s="828"/>
      <c r="M51" s="828"/>
      <c r="N51" s="828"/>
      <c r="O51" s="828"/>
      <c r="P51" s="828"/>
      <c r="Q51" s="828"/>
      <c r="R51" s="828"/>
      <c r="S51" s="828"/>
      <c r="T51" s="828"/>
      <c r="U51" s="828"/>
      <c r="V51" s="828"/>
      <c r="W51" s="828"/>
      <c r="X51" s="828"/>
      <c r="Y51" s="828"/>
      <c r="Z51" s="828"/>
      <c r="AA51" s="828"/>
      <c r="AB51" s="828"/>
      <c r="AC51" s="830" t="e">
        <f>ROUND($D$3/100*AC$3*$Z$3+$D$4/100*AC$4*$Z$4+$D$5/100*AC$5*$Z$5+$D$6/100*AC$6*$Z$6+$D$7/100*AC$7*$Z$7+$D$8/100*AC$8*$Z$8+$D$9/100*AC$9*$Z$9+$D$10/100*AC$10*$Z$10+$D$11/100*AC$11*$Z$11+$D$12/100*AC$12*$Z$12+$D$13/100*AC$13*$Z$13+$D$14/100*AC$14*$Z$14+$D$15/100*AC$15*$Z$15+$D$16/100*AC$16*$Z$16+$D$17/100*AC$17*$Z$17+$D$18/100*AC$18*$Z$18+$D$19/100*AC$19*$Z$19+$D$20/100*AC$20*$Z$20,1)/AC$27*100</f>
        <v>#DIV/0!</v>
      </c>
      <c r="AD51" s="830" t="e">
        <f t="shared" ref="AD51:AK51" si="54">ROUND($D$3/100*AD$3*$Z$3+$D$4/100*AD$4*$Z$4+$D$5/100*AD$5*$Z$5+$D$6/100*AD$6*$Z$6+$D$7/100*AD$7*$Z$7+$D$8/100*AD$8*$Z$8+$D$9/100*AD$9*$Z$9+$D$10/100*AD$10*$Z$10+$D$11/100*AD$11*$Z$11+$D$12/100*AD$12*$Z$12+$D$13/100*AD$13*$Z$13+$D$14/100*AD$14*$Z$14+$D$15/100*AD$15*$Z$15+$D$16/100*AD$16*$Z$16+$D$17/100*AD$17*$Z$17+$D$18/100*AD$18*$Z$18+$D$19/100*AD$19*$Z$19+$D$20/100*AD$20*$Z$20,1)/AD$27*100</f>
        <v>#DIV/0!</v>
      </c>
      <c r="AE51" s="830" t="e">
        <f t="shared" si="54"/>
        <v>#DIV/0!</v>
      </c>
      <c r="AF51" s="830" t="e">
        <f t="shared" si="54"/>
        <v>#DIV/0!</v>
      </c>
      <c r="AG51" s="830" t="e">
        <f t="shared" si="54"/>
        <v>#DIV/0!</v>
      </c>
      <c r="AH51" s="830" t="e">
        <f t="shared" si="54"/>
        <v>#DIV/0!</v>
      </c>
      <c r="AI51" s="830" t="e">
        <f t="shared" si="54"/>
        <v>#DIV/0!</v>
      </c>
      <c r="AJ51" s="830" t="e">
        <f t="shared" si="54"/>
        <v>#DIV/0!</v>
      </c>
      <c r="AK51" s="830" t="e">
        <f t="shared" si="54"/>
        <v>#DIV/0!</v>
      </c>
      <c r="AL51" s="810"/>
    </row>
    <row r="52" spans="1:38" ht="15.75" customHeight="1" x14ac:dyDescent="0.2">
      <c r="A52" s="806"/>
      <c r="B52" s="836"/>
      <c r="C52" s="837" t="str">
        <f>AA2&amp;", mg/kg TM"</f>
        <v>DCAB, mg/kg TM</v>
      </c>
      <c r="D52" s="838"/>
      <c r="E52" s="838"/>
      <c r="F52" s="838"/>
      <c r="G52" s="838"/>
      <c r="H52" s="838"/>
      <c r="I52" s="838"/>
      <c r="J52" s="838"/>
      <c r="K52" s="838"/>
      <c r="L52" s="838"/>
      <c r="M52" s="838"/>
      <c r="N52" s="838"/>
      <c r="O52" s="838"/>
      <c r="P52" s="838"/>
      <c r="Q52" s="838"/>
      <c r="R52" s="838"/>
      <c r="S52" s="838"/>
      <c r="T52" s="838"/>
      <c r="U52" s="838"/>
      <c r="V52" s="838"/>
      <c r="W52" s="838"/>
      <c r="X52" s="838"/>
      <c r="Y52" s="838"/>
      <c r="Z52" s="838"/>
      <c r="AA52" s="838"/>
      <c r="AB52" s="838"/>
      <c r="AC52" s="839" t="e">
        <f>ROUND($D$3/100*AC$3*$AA$3+$D$4/100*AC$4*$AA$4+$D$5/100*AC$5*$AA$5+$D$6/100*AC$6*$AA$6+$D$7/100*AC$7*$AA$7+$D$8/100*AC$8*$AA$8+$D$9/100*AC$9*$AA$9+$D$10/100*AC$10*$AA$10+$D$11/100*AC$11*$AA$11+$D$12/100*AC$12*$AA$12+$D$13/100*AC$13*$AA$13+$D$14/100*AC$14*$AA$14+$D$15/100*AC$15*$AA$15+$D$16/100*AC$16*$AA$16+$D$17/100*AC$17*$AA$17+$D$18/100*AC$18*$AA$18+$D$19/100*AC$19*$AA$19+$D$20/100*AC$20*$AA$20,1)/AC$27*100</f>
        <v>#DIV/0!</v>
      </c>
      <c r="AD52" s="839" t="e">
        <f t="shared" ref="AD52:AK52" si="55">ROUND($D$3/100*AD$3*$AA$3+$D$4/100*AD$4*$AA$4+$D$5/100*AD$5*$AA$5+$D$6/100*AD$6*$AA$6+$D$7/100*AD$7*$AA$7+$D$8/100*AD$8*$AA$8+$D$9/100*AD$9*$AA$9+$D$10/100*AD$10*$AA$10+$D$11/100*AD$11*$AA$11+$D$12/100*AD$12*$AA$12+$D$13/100*AD$13*$AA$13+$D$14/100*AD$14*$AA$14+$D$15/100*AD$15*$AA$15+$D$16/100*AD$16*$AA$16+$D$17/100*AD$17*$AA$17+$D$18/100*AD$18*$AA$18+$D$19/100*AD$19*$AA$19+$D$20/100*AD$20*$AA$20,1)/AD$27*100</f>
        <v>#DIV/0!</v>
      </c>
      <c r="AE52" s="839" t="e">
        <f t="shared" si="55"/>
        <v>#DIV/0!</v>
      </c>
      <c r="AF52" s="839" t="e">
        <f t="shared" si="55"/>
        <v>#DIV/0!</v>
      </c>
      <c r="AG52" s="839" t="e">
        <f t="shared" si="55"/>
        <v>#DIV/0!</v>
      </c>
      <c r="AH52" s="839" t="e">
        <f t="shared" si="55"/>
        <v>#DIV/0!</v>
      </c>
      <c r="AI52" s="839" t="e">
        <f t="shared" si="55"/>
        <v>#DIV/0!</v>
      </c>
      <c r="AJ52" s="839" t="e">
        <f t="shared" si="55"/>
        <v>#DIV/0!</v>
      </c>
      <c r="AK52" s="839" t="e">
        <f t="shared" si="55"/>
        <v>#DIV/0!</v>
      </c>
      <c r="AL52" s="810"/>
    </row>
    <row r="53" spans="1:38" ht="4.5" customHeight="1" x14ac:dyDescent="0.2">
      <c r="A53" s="806"/>
      <c r="B53" s="817"/>
      <c r="C53" s="818"/>
      <c r="D53" s="840"/>
      <c r="E53" s="840"/>
      <c r="F53" s="840"/>
      <c r="G53" s="840"/>
      <c r="H53" s="840"/>
      <c r="I53" s="840"/>
      <c r="J53" s="840"/>
      <c r="K53" s="840"/>
      <c r="L53" s="840"/>
      <c r="M53" s="840"/>
      <c r="N53" s="840"/>
      <c r="O53" s="840"/>
      <c r="P53" s="840"/>
      <c r="Q53" s="840"/>
      <c r="R53" s="840"/>
      <c r="S53" s="840"/>
      <c r="T53" s="840"/>
      <c r="U53" s="840"/>
      <c r="V53" s="840"/>
      <c r="W53" s="840"/>
      <c r="X53" s="840"/>
      <c r="Y53" s="840"/>
      <c r="Z53" s="840"/>
      <c r="AA53" s="840"/>
      <c r="AB53" s="840"/>
      <c r="AC53" s="840"/>
      <c r="AD53" s="840"/>
      <c r="AE53" s="840"/>
      <c r="AF53" s="840"/>
      <c r="AG53" s="840"/>
      <c r="AH53" s="840"/>
      <c r="AI53" s="840"/>
      <c r="AJ53" s="840"/>
      <c r="AK53" s="840"/>
      <c r="AL53" s="810"/>
    </row>
    <row r="54" spans="1:38" ht="13.5" thickBot="1" x14ac:dyDescent="0.25">
      <c r="A54" s="841" t="str">
        <f>'Ration Milch-Mineralstoffe'!A42:U42</f>
        <v xml:space="preserve">             Die Daten sind auf Plausibilität zu prüfen, um Eingabe- und Berechnungsfehler auszuschließen. Es wird keine Gewähr zur Richtigkeit der Daten übernommen.</v>
      </c>
      <c r="B54" s="842"/>
      <c r="C54" s="843"/>
      <c r="D54" s="843"/>
      <c r="E54" s="843"/>
      <c r="F54" s="843"/>
      <c r="G54" s="843"/>
      <c r="H54" s="843"/>
      <c r="I54" s="843"/>
      <c r="J54" s="843"/>
      <c r="K54" s="843"/>
      <c r="L54" s="843"/>
      <c r="M54" s="843"/>
      <c r="N54" s="843"/>
      <c r="O54" s="843"/>
      <c r="P54" s="843"/>
      <c r="Q54" s="843"/>
      <c r="R54" s="843"/>
      <c r="S54" s="843"/>
      <c r="T54" s="843"/>
      <c r="U54" s="843"/>
      <c r="V54" s="843"/>
      <c r="W54" s="843"/>
      <c r="X54" s="843"/>
      <c r="Y54" s="843"/>
      <c r="Z54" s="843"/>
      <c r="AA54" s="843"/>
      <c r="AB54" s="843"/>
      <c r="AC54" s="843"/>
      <c r="AD54" s="843"/>
      <c r="AE54" s="843"/>
      <c r="AF54" s="843"/>
      <c r="AG54" s="843"/>
      <c r="AH54" s="843"/>
      <c r="AI54" s="844"/>
      <c r="AJ54" s="845" t="str">
        <f>Einstellungen!C1</f>
        <v>Bearbeiter*in:</v>
      </c>
      <c r="AK54" s="846" t="str">
        <f>Einstellungen!E1</f>
        <v>E. Gerster</v>
      </c>
      <c r="AL54" s="847"/>
    </row>
    <row r="55" spans="1:38" ht="4.5" customHeight="1" thickTop="1" x14ac:dyDescent="0.2">
      <c r="D55" s="840"/>
      <c r="E55" s="840"/>
      <c r="F55" s="840"/>
      <c r="G55" s="840"/>
      <c r="H55" s="840"/>
      <c r="I55" s="840"/>
      <c r="J55" s="840"/>
      <c r="K55" s="840"/>
      <c r="L55" s="840"/>
      <c r="M55" s="840"/>
      <c r="N55" s="840"/>
      <c r="O55" s="840"/>
      <c r="P55" s="840"/>
      <c r="Q55" s="840"/>
      <c r="R55" s="840"/>
      <c r="S55" s="840"/>
      <c r="T55" s="840"/>
      <c r="U55" s="840"/>
      <c r="V55" s="840"/>
      <c r="W55" s="840"/>
      <c r="X55" s="840"/>
      <c r="Y55" s="840"/>
      <c r="Z55" s="840"/>
      <c r="AA55" s="840"/>
      <c r="AB55" s="840"/>
    </row>
  </sheetData>
  <sheetProtection algorithmName="SHA-512" hashValue="gN1PH7lN+53ycckS4mm/kxVvaJehLpjRn3Tu+M3GCkSiDjZpBYYeZiWNLnwWNSshFQNUh0djKVWlqqrWdOgBPg==" saltValue="zwCjHmaY2yN36YXsng7Org==" spinCount="100000" sheet="1" objects="1" scenarios="1" formatColumns="0"/>
  <customSheetViews>
    <customSheetView guid="{2DEE39A3-88C5-4D7F-AEB9-0B43FD431165}" showGridLines="0" fitToPage="1" hiddenRows="1" hiddenColumns="1">
      <pane xSplit="3" ySplit="2" topLeftCell="AC16" activePane="bottomRight" state="frozen"/>
      <selection pane="bottomRight" activeCell="AJ31" sqref="AJ31"/>
      <pageMargins left="0.23622047244094491" right="0.23622047244094491" top="0.70866141732283472" bottom="0.35433070866141736" header="0.31496062992125984" footer="0.11811023622047245"/>
      <printOptions horizontalCentered="1"/>
      <pageSetup paperSize="9" scale="59" orientation="landscape" horizontalDpi="1200" r:id="rId1"/>
      <headerFooter alignWithMargins="0">
        <oddFooter>&amp;L&amp;F&amp;A&amp;R&amp;D  &amp;T</oddFooter>
      </headerFooter>
    </customSheetView>
    <customSheetView guid="{117F828A-4542-4D18-9CDB-B606529AAD66}" showGridLines="0" showRowCol="0" fitToPage="1" hiddenRows="1" hiddenColumns="1">
      <selection activeCell="AA3" sqref="AA3"/>
      <pageMargins left="0.23622047244094491" right="0.23622047244094491" top="0.70866141732283472" bottom="0.35433070866141736" header="0.31496062992125984" footer="0.11811023622047245"/>
      <printOptions horizontalCentered="1"/>
      <pageSetup paperSize="9" scale="61" orientation="landscape" horizontalDpi="1200" r:id="rId2"/>
      <headerFooter alignWithMargins="0">
        <oddFooter>&amp;L&amp;F&amp;A&amp;R&amp;D  &amp;T</oddFooter>
      </headerFooter>
    </customSheetView>
  </customSheetViews>
  <mergeCells count="2">
    <mergeCell ref="B2:C2"/>
    <mergeCell ref="E1:AB1"/>
  </mergeCells>
  <phoneticPr fontId="8" type="noConversion"/>
  <conditionalFormatting sqref="AC21:AK21">
    <cfRule type="cellIs" dxfId="42" priority="1" stopIfTrue="1" operator="equal">
      <formula>1</formula>
    </cfRule>
    <cfRule type="cellIs" dxfId="41" priority="2" stopIfTrue="1" operator="notEqual">
      <formula>1</formula>
    </cfRule>
  </conditionalFormatting>
  <printOptions horizontalCentered="1"/>
  <pageMargins left="0.23622047244094491" right="0.23622047244094491" top="0.70866141732283472" bottom="0.35433070866141736" header="0.31496062992125984" footer="0.11811023622047245"/>
  <pageSetup paperSize="9" scale="59" orientation="landscape" horizontalDpi="1200" r:id="rId3"/>
  <headerFooter alignWithMargins="0">
    <oddFooter>&amp;L&amp;F&amp;A&amp;R&amp;D  &amp;T</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6145" r:id="rId6" name="Drop Down 1">
              <controlPr locked="0" defaultSize="0" print="0" autoFill="0" autoLine="0" autoPict="0">
                <anchor moveWithCells="1">
                  <from>
                    <xdr:col>1</xdr:col>
                    <xdr:colOff>0</xdr:colOff>
                    <xdr:row>2</xdr:row>
                    <xdr:rowOff>9525</xdr:rowOff>
                  </from>
                  <to>
                    <xdr:col>28</xdr:col>
                    <xdr:colOff>9525</xdr:colOff>
                    <xdr:row>3</xdr:row>
                    <xdr:rowOff>19050</xdr:rowOff>
                  </to>
                </anchor>
              </controlPr>
            </control>
          </mc:Choice>
        </mc:AlternateContent>
        <mc:AlternateContent xmlns:mc="http://schemas.openxmlformats.org/markup-compatibility/2006">
          <mc:Choice Requires="x14">
            <control shapeId="6146" r:id="rId7" name="Drop Down 2">
              <controlPr locked="0" defaultSize="0" print="0" autoFill="0" autoLine="0" autoPict="0">
                <anchor moveWithCells="1">
                  <from>
                    <xdr:col>1</xdr:col>
                    <xdr:colOff>0</xdr:colOff>
                    <xdr:row>3</xdr:row>
                    <xdr:rowOff>28575</xdr:rowOff>
                  </from>
                  <to>
                    <xdr:col>28</xdr:col>
                    <xdr:colOff>9525</xdr:colOff>
                    <xdr:row>4</xdr:row>
                    <xdr:rowOff>19050</xdr:rowOff>
                  </to>
                </anchor>
              </controlPr>
            </control>
          </mc:Choice>
        </mc:AlternateContent>
        <mc:AlternateContent xmlns:mc="http://schemas.openxmlformats.org/markup-compatibility/2006">
          <mc:Choice Requires="x14">
            <control shapeId="6148" r:id="rId8" name="Drop Down 4">
              <controlPr locked="0" defaultSize="0" print="0" autoFill="0" autoLine="0" autoPict="0">
                <anchor moveWithCells="1">
                  <from>
                    <xdr:col>1</xdr:col>
                    <xdr:colOff>0</xdr:colOff>
                    <xdr:row>5</xdr:row>
                    <xdr:rowOff>28575</xdr:rowOff>
                  </from>
                  <to>
                    <xdr:col>28</xdr:col>
                    <xdr:colOff>9525</xdr:colOff>
                    <xdr:row>6</xdr:row>
                    <xdr:rowOff>19050</xdr:rowOff>
                  </to>
                </anchor>
              </controlPr>
            </control>
          </mc:Choice>
        </mc:AlternateContent>
        <mc:AlternateContent xmlns:mc="http://schemas.openxmlformats.org/markup-compatibility/2006">
          <mc:Choice Requires="x14">
            <control shapeId="6149" r:id="rId9" name="Drop Down 5">
              <controlPr locked="0" defaultSize="0" print="0" autoFill="0" autoLine="0" autoPict="0">
                <anchor moveWithCells="1">
                  <from>
                    <xdr:col>1</xdr:col>
                    <xdr:colOff>0</xdr:colOff>
                    <xdr:row>6</xdr:row>
                    <xdr:rowOff>28575</xdr:rowOff>
                  </from>
                  <to>
                    <xdr:col>28</xdr:col>
                    <xdr:colOff>9525</xdr:colOff>
                    <xdr:row>7</xdr:row>
                    <xdr:rowOff>19050</xdr:rowOff>
                  </to>
                </anchor>
              </controlPr>
            </control>
          </mc:Choice>
        </mc:AlternateContent>
        <mc:AlternateContent xmlns:mc="http://schemas.openxmlformats.org/markup-compatibility/2006">
          <mc:Choice Requires="x14">
            <control shapeId="6150" r:id="rId10" name="Drop Down 6">
              <controlPr locked="0" defaultSize="0" print="0" autoFill="0" autoLine="0" autoPict="0">
                <anchor moveWithCells="1">
                  <from>
                    <xdr:col>1</xdr:col>
                    <xdr:colOff>0</xdr:colOff>
                    <xdr:row>7</xdr:row>
                    <xdr:rowOff>28575</xdr:rowOff>
                  </from>
                  <to>
                    <xdr:col>28</xdr:col>
                    <xdr:colOff>9525</xdr:colOff>
                    <xdr:row>8</xdr:row>
                    <xdr:rowOff>19050</xdr:rowOff>
                  </to>
                </anchor>
              </controlPr>
            </control>
          </mc:Choice>
        </mc:AlternateContent>
        <mc:AlternateContent xmlns:mc="http://schemas.openxmlformats.org/markup-compatibility/2006">
          <mc:Choice Requires="x14">
            <control shapeId="6151" r:id="rId11" name="Drop Down 7">
              <controlPr locked="0" defaultSize="0" print="0" autoFill="0" autoLine="0" autoPict="0">
                <anchor moveWithCells="1">
                  <from>
                    <xdr:col>1</xdr:col>
                    <xdr:colOff>0</xdr:colOff>
                    <xdr:row>8</xdr:row>
                    <xdr:rowOff>28575</xdr:rowOff>
                  </from>
                  <to>
                    <xdr:col>28</xdr:col>
                    <xdr:colOff>9525</xdr:colOff>
                    <xdr:row>9</xdr:row>
                    <xdr:rowOff>19050</xdr:rowOff>
                  </to>
                </anchor>
              </controlPr>
            </control>
          </mc:Choice>
        </mc:AlternateContent>
        <mc:AlternateContent xmlns:mc="http://schemas.openxmlformats.org/markup-compatibility/2006">
          <mc:Choice Requires="x14">
            <control shapeId="6152" r:id="rId12" name="Drop Down 8">
              <controlPr locked="0" defaultSize="0" print="0" autoFill="0" autoLine="0" autoPict="0">
                <anchor moveWithCells="1">
                  <from>
                    <xdr:col>1</xdr:col>
                    <xdr:colOff>0</xdr:colOff>
                    <xdr:row>9</xdr:row>
                    <xdr:rowOff>28575</xdr:rowOff>
                  </from>
                  <to>
                    <xdr:col>28</xdr:col>
                    <xdr:colOff>9525</xdr:colOff>
                    <xdr:row>10</xdr:row>
                    <xdr:rowOff>19050</xdr:rowOff>
                  </to>
                </anchor>
              </controlPr>
            </control>
          </mc:Choice>
        </mc:AlternateContent>
        <mc:AlternateContent xmlns:mc="http://schemas.openxmlformats.org/markup-compatibility/2006">
          <mc:Choice Requires="x14">
            <control shapeId="6153" r:id="rId13" name="Drop Down 9">
              <controlPr locked="0" defaultSize="0" print="0" autoFill="0" autoLine="0" autoPict="0">
                <anchor moveWithCells="1">
                  <from>
                    <xdr:col>1</xdr:col>
                    <xdr:colOff>0</xdr:colOff>
                    <xdr:row>10</xdr:row>
                    <xdr:rowOff>28575</xdr:rowOff>
                  </from>
                  <to>
                    <xdr:col>28</xdr:col>
                    <xdr:colOff>9525</xdr:colOff>
                    <xdr:row>11</xdr:row>
                    <xdr:rowOff>19050</xdr:rowOff>
                  </to>
                </anchor>
              </controlPr>
            </control>
          </mc:Choice>
        </mc:AlternateContent>
        <mc:AlternateContent xmlns:mc="http://schemas.openxmlformats.org/markup-compatibility/2006">
          <mc:Choice Requires="x14">
            <control shapeId="6154" r:id="rId14" name="Drop Down 10">
              <controlPr locked="0" defaultSize="0" print="0" autoFill="0" autoLine="0" autoPict="0">
                <anchor moveWithCells="1">
                  <from>
                    <xdr:col>1</xdr:col>
                    <xdr:colOff>0</xdr:colOff>
                    <xdr:row>11</xdr:row>
                    <xdr:rowOff>28575</xdr:rowOff>
                  </from>
                  <to>
                    <xdr:col>28</xdr:col>
                    <xdr:colOff>9525</xdr:colOff>
                    <xdr:row>12</xdr:row>
                    <xdr:rowOff>19050</xdr:rowOff>
                  </to>
                </anchor>
              </controlPr>
            </control>
          </mc:Choice>
        </mc:AlternateContent>
        <mc:AlternateContent xmlns:mc="http://schemas.openxmlformats.org/markup-compatibility/2006">
          <mc:Choice Requires="x14">
            <control shapeId="6155" r:id="rId15" name="Drop Down 11">
              <controlPr locked="0" defaultSize="0" print="0" autoFill="0" autoLine="0" autoPict="0">
                <anchor moveWithCells="1">
                  <from>
                    <xdr:col>1</xdr:col>
                    <xdr:colOff>0</xdr:colOff>
                    <xdr:row>12</xdr:row>
                    <xdr:rowOff>28575</xdr:rowOff>
                  </from>
                  <to>
                    <xdr:col>28</xdr:col>
                    <xdr:colOff>9525</xdr:colOff>
                    <xdr:row>13</xdr:row>
                    <xdr:rowOff>19050</xdr:rowOff>
                  </to>
                </anchor>
              </controlPr>
            </control>
          </mc:Choice>
        </mc:AlternateContent>
        <mc:AlternateContent xmlns:mc="http://schemas.openxmlformats.org/markup-compatibility/2006">
          <mc:Choice Requires="x14">
            <control shapeId="6156" r:id="rId16" name="Drop Down 12">
              <controlPr locked="0" defaultSize="0" print="0" autoFill="0" autoLine="0" autoPict="0">
                <anchor moveWithCells="1">
                  <from>
                    <xdr:col>1</xdr:col>
                    <xdr:colOff>0</xdr:colOff>
                    <xdr:row>13</xdr:row>
                    <xdr:rowOff>38100</xdr:rowOff>
                  </from>
                  <to>
                    <xdr:col>28</xdr:col>
                    <xdr:colOff>9525</xdr:colOff>
                    <xdr:row>14</xdr:row>
                    <xdr:rowOff>28575</xdr:rowOff>
                  </to>
                </anchor>
              </controlPr>
            </control>
          </mc:Choice>
        </mc:AlternateContent>
        <mc:AlternateContent xmlns:mc="http://schemas.openxmlformats.org/markup-compatibility/2006">
          <mc:Choice Requires="x14">
            <control shapeId="6158" r:id="rId17" name="Drop Down 14">
              <controlPr locked="0" defaultSize="0" print="0" autoFill="0" autoLine="0" autoPict="0">
                <anchor moveWithCells="1">
                  <from>
                    <xdr:col>1</xdr:col>
                    <xdr:colOff>0</xdr:colOff>
                    <xdr:row>14</xdr:row>
                    <xdr:rowOff>38100</xdr:rowOff>
                  </from>
                  <to>
                    <xdr:col>28</xdr:col>
                    <xdr:colOff>9525</xdr:colOff>
                    <xdr:row>15</xdr:row>
                    <xdr:rowOff>28575</xdr:rowOff>
                  </to>
                </anchor>
              </controlPr>
            </control>
          </mc:Choice>
        </mc:AlternateContent>
        <mc:AlternateContent xmlns:mc="http://schemas.openxmlformats.org/markup-compatibility/2006">
          <mc:Choice Requires="x14">
            <control shapeId="6160" r:id="rId18" name="Drop Down 16">
              <controlPr locked="0" defaultSize="0" print="0" autoFill="0" autoLine="0" autoPict="0">
                <anchor moveWithCells="1">
                  <from>
                    <xdr:col>1</xdr:col>
                    <xdr:colOff>0</xdr:colOff>
                    <xdr:row>15</xdr:row>
                    <xdr:rowOff>38100</xdr:rowOff>
                  </from>
                  <to>
                    <xdr:col>28</xdr:col>
                    <xdr:colOff>9525</xdr:colOff>
                    <xdr:row>16</xdr:row>
                    <xdr:rowOff>28575</xdr:rowOff>
                  </to>
                </anchor>
              </controlPr>
            </control>
          </mc:Choice>
        </mc:AlternateContent>
        <mc:AlternateContent xmlns:mc="http://schemas.openxmlformats.org/markup-compatibility/2006">
          <mc:Choice Requires="x14">
            <control shapeId="6162" r:id="rId19" name="Drop Down 18">
              <controlPr locked="0" defaultSize="0" print="0" autoFill="0" autoLine="0" autoPict="0">
                <anchor moveWithCells="1">
                  <from>
                    <xdr:col>1</xdr:col>
                    <xdr:colOff>0</xdr:colOff>
                    <xdr:row>16</xdr:row>
                    <xdr:rowOff>38100</xdr:rowOff>
                  </from>
                  <to>
                    <xdr:col>28</xdr:col>
                    <xdr:colOff>9525</xdr:colOff>
                    <xdr:row>17</xdr:row>
                    <xdr:rowOff>28575</xdr:rowOff>
                  </to>
                </anchor>
              </controlPr>
            </control>
          </mc:Choice>
        </mc:AlternateContent>
        <mc:AlternateContent xmlns:mc="http://schemas.openxmlformats.org/markup-compatibility/2006">
          <mc:Choice Requires="x14">
            <control shapeId="6164" r:id="rId20" name="Drop Down 20">
              <controlPr locked="0" defaultSize="0" print="0" autoFill="0" autoLine="0" autoPict="0">
                <anchor moveWithCells="1">
                  <from>
                    <xdr:col>1</xdr:col>
                    <xdr:colOff>0</xdr:colOff>
                    <xdr:row>17</xdr:row>
                    <xdr:rowOff>38100</xdr:rowOff>
                  </from>
                  <to>
                    <xdr:col>28</xdr:col>
                    <xdr:colOff>9525</xdr:colOff>
                    <xdr:row>18</xdr:row>
                    <xdr:rowOff>28575</xdr:rowOff>
                  </to>
                </anchor>
              </controlPr>
            </control>
          </mc:Choice>
        </mc:AlternateContent>
        <mc:AlternateContent xmlns:mc="http://schemas.openxmlformats.org/markup-compatibility/2006">
          <mc:Choice Requires="x14">
            <control shapeId="6166" r:id="rId21" name="Drop Down 22">
              <controlPr locked="0" defaultSize="0" print="0" autoFill="0" autoLine="0" autoPict="0">
                <anchor moveWithCells="1">
                  <from>
                    <xdr:col>1</xdr:col>
                    <xdr:colOff>0</xdr:colOff>
                    <xdr:row>18</xdr:row>
                    <xdr:rowOff>38100</xdr:rowOff>
                  </from>
                  <to>
                    <xdr:col>28</xdr:col>
                    <xdr:colOff>9525</xdr:colOff>
                    <xdr:row>19</xdr:row>
                    <xdr:rowOff>28575</xdr:rowOff>
                  </to>
                </anchor>
              </controlPr>
            </control>
          </mc:Choice>
        </mc:AlternateContent>
        <mc:AlternateContent xmlns:mc="http://schemas.openxmlformats.org/markup-compatibility/2006">
          <mc:Choice Requires="x14">
            <control shapeId="6167" r:id="rId22" name="Drop Down 23">
              <controlPr locked="0" defaultSize="0" print="0" autoFill="0" autoLine="0" autoPict="0">
                <anchor moveWithCells="1">
                  <from>
                    <xdr:col>1</xdr:col>
                    <xdr:colOff>0</xdr:colOff>
                    <xdr:row>19</xdr:row>
                    <xdr:rowOff>38100</xdr:rowOff>
                  </from>
                  <to>
                    <xdr:col>28</xdr:col>
                    <xdr:colOff>9525</xdr:colOff>
                    <xdr:row>20</xdr:row>
                    <xdr:rowOff>28575</xdr:rowOff>
                  </to>
                </anchor>
              </controlPr>
            </control>
          </mc:Choice>
        </mc:AlternateContent>
        <mc:AlternateContent xmlns:mc="http://schemas.openxmlformats.org/markup-compatibility/2006">
          <mc:Choice Requires="x14">
            <control shapeId="6168" r:id="rId23" name="Drop Down 24">
              <controlPr locked="0" defaultSize="0" print="0" autoFill="0" autoLine="0" autoPict="0">
                <anchor moveWithCells="1">
                  <from>
                    <xdr:col>1</xdr:col>
                    <xdr:colOff>0</xdr:colOff>
                    <xdr:row>4</xdr:row>
                    <xdr:rowOff>28575</xdr:rowOff>
                  </from>
                  <to>
                    <xdr:col>28</xdr:col>
                    <xdr:colOff>9525</xdr:colOff>
                    <xdr:row>5</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tabColor rgb="FF92D050"/>
    <pageSetUpPr fitToPage="1"/>
  </sheetPr>
  <dimension ref="A1:GB62"/>
  <sheetViews>
    <sheetView showGridLines="0" showZeros="0" tabSelected="1" topLeftCell="A7" zoomScale="120" zoomScaleNormal="100" workbookViewId="0">
      <selection activeCell="J22" sqref="J22"/>
    </sheetView>
  </sheetViews>
  <sheetFormatPr baseColWidth="10" defaultColWidth="11.42578125" defaultRowHeight="12" zeroHeight="1" outlineLevelCol="2" x14ac:dyDescent="0.2"/>
  <cols>
    <col min="1" max="1" width="2.42578125" style="171" customWidth="1"/>
    <col min="2" max="2" width="6.140625" style="23" customWidth="1"/>
    <col min="3" max="3" width="1.7109375" style="23" hidden="1" customWidth="1"/>
    <col min="4" max="4" width="30" style="23" customWidth="1"/>
    <col min="5" max="5" width="4" style="23" customWidth="1"/>
    <col min="6" max="6" width="5.42578125" style="23" customWidth="1"/>
    <col min="7" max="7" width="5.140625" style="38" customWidth="1"/>
    <col min="8" max="14" width="10.42578125" style="23" customWidth="1"/>
    <col min="15" max="21" width="10.42578125" style="23" hidden="1" customWidth="1" outlineLevel="2"/>
    <col min="22" max="22" width="11" style="23" customWidth="1" collapsed="1"/>
    <col min="23" max="23" width="11" style="23" customWidth="1"/>
    <col min="24" max="24" width="10.42578125" style="23" hidden="1" customWidth="1"/>
    <col min="25" max="25" width="9" style="23" customWidth="1"/>
    <col min="26" max="26" width="9" style="23" hidden="1" customWidth="1"/>
    <col min="27" max="27" width="9" style="23" customWidth="1"/>
    <col min="28" max="28" width="12.5703125" style="23" customWidth="1"/>
    <col min="29" max="29" width="9" style="23" customWidth="1"/>
    <col min="30" max="30" width="10.140625" style="23" customWidth="1"/>
    <col min="31" max="32" width="9" style="23" customWidth="1"/>
    <col min="33" max="33" width="9" style="23" hidden="1" customWidth="1" outlineLevel="1"/>
    <col min="34" max="38" width="9" style="170" hidden="1" customWidth="1" outlineLevel="1"/>
    <col min="39" max="39" width="9" style="170" customWidth="1" collapsed="1"/>
    <col min="40" max="40" width="2.140625" style="173" customWidth="1"/>
    <col min="41" max="41" width="0.5703125" style="23" customWidth="1"/>
    <col min="42" max="16384" width="11.42578125" style="90"/>
  </cols>
  <sheetData>
    <row r="1" spans="1:184" s="358" customFormat="1" ht="6" customHeight="1" thickTop="1" x14ac:dyDescent="0.2">
      <c r="A1" s="388"/>
      <c r="B1" s="389"/>
      <c r="C1" s="390"/>
      <c r="D1" s="390"/>
      <c r="E1" s="390"/>
      <c r="F1" s="390"/>
      <c r="G1" s="391"/>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2"/>
      <c r="AP1" s="359"/>
      <c r="AQ1" s="359"/>
      <c r="AR1" s="359"/>
      <c r="AS1" s="359"/>
      <c r="AT1" s="359"/>
      <c r="AU1" s="359"/>
      <c r="AV1" s="359"/>
      <c r="AW1" s="359"/>
      <c r="AX1" s="359"/>
      <c r="AY1" s="359"/>
      <c r="AZ1" s="359"/>
      <c r="BA1" s="359"/>
      <c r="BB1" s="359"/>
      <c r="BC1" s="359"/>
      <c r="BD1" s="359"/>
      <c r="BE1" s="359"/>
      <c r="BF1" s="359"/>
      <c r="BG1" s="359"/>
      <c r="BH1" s="359"/>
      <c r="BI1" s="359"/>
      <c r="BJ1" s="359"/>
      <c r="BK1" s="359"/>
      <c r="BL1" s="359"/>
      <c r="BM1" s="359"/>
      <c r="BN1" s="359"/>
      <c r="BO1" s="359"/>
      <c r="BP1" s="359"/>
      <c r="BQ1" s="359"/>
      <c r="BR1" s="359"/>
      <c r="BS1" s="359"/>
      <c r="BT1" s="359"/>
      <c r="BU1" s="359"/>
      <c r="BV1" s="359"/>
      <c r="BW1" s="359"/>
      <c r="BX1" s="359"/>
      <c r="BY1" s="359"/>
      <c r="BZ1" s="359"/>
      <c r="CA1" s="359"/>
      <c r="CB1" s="359"/>
      <c r="CC1" s="359"/>
      <c r="CD1" s="359"/>
      <c r="CE1" s="359"/>
      <c r="CF1" s="359"/>
      <c r="CG1" s="359"/>
      <c r="CH1" s="359"/>
      <c r="CI1" s="359"/>
      <c r="CJ1" s="359"/>
      <c r="CK1" s="359"/>
      <c r="CL1" s="359"/>
      <c r="CM1" s="359"/>
      <c r="CN1" s="359"/>
      <c r="CO1" s="359"/>
      <c r="CP1" s="359"/>
      <c r="CQ1" s="359"/>
      <c r="CR1" s="359"/>
      <c r="CS1" s="359"/>
      <c r="CT1" s="359"/>
      <c r="CU1" s="359"/>
      <c r="CV1" s="359"/>
      <c r="CW1" s="359"/>
      <c r="CX1" s="359"/>
      <c r="CY1" s="359"/>
      <c r="CZ1" s="359"/>
      <c r="DA1" s="359"/>
      <c r="DB1" s="359"/>
      <c r="DC1" s="359"/>
      <c r="DD1" s="359"/>
      <c r="DE1" s="359"/>
      <c r="DF1" s="359"/>
      <c r="DG1" s="359"/>
      <c r="DH1" s="359"/>
      <c r="DI1" s="359"/>
      <c r="DJ1" s="359"/>
      <c r="DK1" s="359"/>
      <c r="DL1" s="359"/>
      <c r="DM1" s="359"/>
      <c r="DN1" s="359"/>
      <c r="DO1" s="359"/>
      <c r="DP1" s="359"/>
      <c r="DQ1" s="359"/>
      <c r="DR1" s="359"/>
      <c r="DS1" s="359"/>
      <c r="DT1" s="359"/>
      <c r="DU1" s="359"/>
      <c r="DV1" s="359"/>
      <c r="DW1" s="359"/>
      <c r="DX1" s="359"/>
      <c r="DY1" s="359"/>
      <c r="DZ1" s="359"/>
      <c r="EA1" s="359"/>
      <c r="EB1" s="359"/>
      <c r="EC1" s="359"/>
      <c r="ED1" s="359"/>
      <c r="EE1" s="359"/>
      <c r="EF1" s="359"/>
      <c r="EG1" s="359"/>
      <c r="EH1" s="359"/>
      <c r="EI1" s="359"/>
      <c r="EJ1" s="359"/>
      <c r="EK1" s="359"/>
      <c r="EL1" s="359"/>
      <c r="EM1" s="359"/>
      <c r="EN1" s="359"/>
      <c r="EO1" s="359"/>
      <c r="EP1" s="359"/>
      <c r="EQ1" s="359"/>
      <c r="ER1" s="359"/>
      <c r="ES1" s="359"/>
      <c r="ET1" s="359"/>
      <c r="EU1" s="359"/>
      <c r="EV1" s="359"/>
      <c r="EW1" s="359"/>
      <c r="EX1" s="359"/>
      <c r="EY1" s="359"/>
      <c r="EZ1" s="359"/>
      <c r="FA1" s="359"/>
      <c r="FB1" s="359"/>
      <c r="FC1" s="359"/>
      <c r="FD1" s="359"/>
      <c r="FE1" s="359"/>
      <c r="FF1" s="359"/>
      <c r="FG1" s="359"/>
      <c r="FH1" s="359"/>
      <c r="FI1" s="359"/>
      <c r="FJ1" s="359"/>
      <c r="FK1" s="359"/>
      <c r="FL1" s="359"/>
      <c r="FM1" s="359"/>
      <c r="FN1" s="359"/>
      <c r="FO1" s="359"/>
      <c r="FP1" s="359"/>
      <c r="FQ1" s="359"/>
      <c r="FR1" s="359"/>
      <c r="FS1" s="359"/>
      <c r="FT1" s="359"/>
      <c r="FU1" s="359"/>
      <c r="FV1" s="359"/>
      <c r="FW1" s="359"/>
      <c r="FX1" s="359"/>
      <c r="FY1" s="359"/>
      <c r="FZ1" s="359"/>
      <c r="GA1" s="359"/>
      <c r="GB1" s="359"/>
    </row>
    <row r="2" spans="1:184" s="360" customFormat="1" ht="16.5" customHeight="1" x14ac:dyDescent="0.2">
      <c r="A2" s="393"/>
      <c r="B2" s="394"/>
      <c r="C2" s="395"/>
      <c r="D2" s="395"/>
      <c r="E2" s="395"/>
      <c r="F2" s="395"/>
      <c r="G2" s="396"/>
      <c r="H2" s="395"/>
      <c r="I2" s="395"/>
      <c r="J2" s="395"/>
      <c r="K2" s="397" t="str">
        <f>"Futterberechnung für "&amp;IF(Art=1,"Milchkühe",IF(Art=2,"Milchschafe",IF(Art=3,"Milchziegen","")))</f>
        <v>Futterberechnung für Milchkühe</v>
      </c>
      <c r="L2" s="395"/>
      <c r="M2" s="395"/>
      <c r="N2" s="395"/>
      <c r="O2" s="395"/>
      <c r="P2" s="395"/>
      <c r="Q2" s="395"/>
      <c r="R2" s="398"/>
      <c r="S2" s="398"/>
      <c r="T2" s="398"/>
      <c r="U2" s="395"/>
      <c r="V2" s="395"/>
      <c r="W2" s="395"/>
      <c r="X2" s="395"/>
      <c r="Y2" s="395"/>
      <c r="Z2" s="395"/>
      <c r="AA2" s="1440"/>
      <c r="AB2" s="1440"/>
      <c r="AC2" s="1440"/>
      <c r="AD2" s="395"/>
      <c r="AE2" s="395"/>
      <c r="AF2" s="395"/>
      <c r="AG2" s="395"/>
      <c r="AH2" s="395"/>
      <c r="AI2" s="395"/>
      <c r="AJ2" s="395"/>
      <c r="AK2" s="395"/>
      <c r="AL2" s="395"/>
      <c r="AM2" s="398"/>
      <c r="AN2" s="399"/>
      <c r="AP2" s="359"/>
      <c r="AQ2" s="359"/>
      <c r="AR2" s="359"/>
      <c r="AS2" s="359"/>
      <c r="AT2" s="359"/>
      <c r="AU2" s="359"/>
      <c r="AV2" s="359"/>
      <c r="AW2" s="359"/>
      <c r="AX2" s="359"/>
      <c r="AY2" s="359"/>
      <c r="AZ2" s="359"/>
      <c r="BA2" s="359"/>
      <c r="BB2" s="359"/>
      <c r="BC2" s="359"/>
      <c r="BD2" s="359"/>
      <c r="BE2" s="359"/>
      <c r="BF2" s="359"/>
      <c r="BG2" s="359"/>
      <c r="BH2" s="359"/>
      <c r="BI2" s="359"/>
      <c r="BJ2" s="359"/>
      <c r="BK2" s="359"/>
      <c r="BL2" s="359"/>
      <c r="BM2" s="359"/>
      <c r="BN2" s="359"/>
      <c r="BO2" s="359"/>
      <c r="BP2" s="359"/>
      <c r="BQ2" s="359"/>
      <c r="BR2" s="359"/>
      <c r="BS2" s="359"/>
      <c r="BT2" s="359"/>
      <c r="BU2" s="359"/>
      <c r="BV2" s="359"/>
      <c r="BW2" s="359"/>
      <c r="BX2" s="359"/>
      <c r="BY2" s="359"/>
      <c r="BZ2" s="359"/>
      <c r="CA2" s="359"/>
      <c r="CB2" s="359"/>
      <c r="CC2" s="359"/>
      <c r="CD2" s="359"/>
      <c r="CE2" s="359"/>
      <c r="CF2" s="359"/>
      <c r="CG2" s="359"/>
      <c r="CH2" s="359"/>
      <c r="CI2" s="359"/>
      <c r="CJ2" s="359"/>
      <c r="CK2" s="359"/>
      <c r="CL2" s="359"/>
      <c r="CM2" s="359"/>
      <c r="CN2" s="359"/>
      <c r="CO2" s="359"/>
      <c r="CP2" s="359"/>
      <c r="CQ2" s="359"/>
      <c r="CR2" s="359"/>
      <c r="CS2" s="359"/>
      <c r="CT2" s="359"/>
      <c r="CU2" s="359"/>
      <c r="CV2" s="359"/>
      <c r="CW2" s="359"/>
      <c r="CX2" s="359"/>
      <c r="CY2" s="359"/>
      <c r="CZ2" s="359"/>
      <c r="DA2" s="359"/>
      <c r="DB2" s="359"/>
      <c r="DC2" s="359"/>
      <c r="DD2" s="359"/>
      <c r="DE2" s="359"/>
      <c r="DF2" s="359"/>
      <c r="DG2" s="359"/>
      <c r="DH2" s="359"/>
      <c r="DI2" s="359"/>
      <c r="DJ2" s="359"/>
      <c r="DK2" s="359"/>
      <c r="DL2" s="359"/>
      <c r="DM2" s="359"/>
      <c r="DN2" s="359"/>
      <c r="DO2" s="359"/>
      <c r="DP2" s="359"/>
      <c r="DQ2" s="359"/>
      <c r="DR2" s="359"/>
      <c r="DS2" s="359"/>
      <c r="DT2" s="359"/>
      <c r="DU2" s="359"/>
      <c r="DV2" s="359"/>
      <c r="DW2" s="359"/>
      <c r="DX2" s="359"/>
      <c r="DY2" s="359"/>
      <c r="DZ2" s="359"/>
      <c r="EA2" s="359"/>
      <c r="EB2" s="359"/>
      <c r="EC2" s="359"/>
      <c r="ED2" s="359"/>
      <c r="EE2" s="359"/>
      <c r="EF2" s="359"/>
      <c r="EG2" s="359"/>
      <c r="EH2" s="359"/>
      <c r="EI2" s="359"/>
      <c r="EJ2" s="359"/>
      <c r="EK2" s="359"/>
      <c r="EL2" s="359"/>
      <c r="EM2" s="359"/>
      <c r="EN2" s="359"/>
      <c r="EO2" s="359"/>
      <c r="EP2" s="359"/>
      <c r="EQ2" s="359"/>
      <c r="ER2" s="359"/>
      <c r="ES2" s="359"/>
      <c r="ET2" s="359"/>
      <c r="EU2" s="359"/>
      <c r="EV2" s="359"/>
      <c r="EW2" s="359"/>
      <c r="EX2" s="359"/>
      <c r="EY2" s="359"/>
      <c r="EZ2" s="359"/>
      <c r="FA2" s="359"/>
      <c r="FB2" s="359"/>
      <c r="FC2" s="359"/>
      <c r="FD2" s="359"/>
      <c r="FE2" s="359"/>
      <c r="FF2" s="359"/>
      <c r="FG2" s="359"/>
      <c r="FH2" s="359"/>
      <c r="FI2" s="359"/>
      <c r="FJ2" s="359"/>
      <c r="FK2" s="359"/>
      <c r="FL2" s="359"/>
      <c r="FM2" s="359"/>
      <c r="FN2" s="359"/>
      <c r="FO2" s="359"/>
      <c r="FP2" s="359"/>
      <c r="FQ2" s="359"/>
      <c r="FR2" s="359"/>
      <c r="FS2" s="359"/>
      <c r="FT2" s="359"/>
      <c r="FU2" s="359"/>
      <c r="FV2" s="359"/>
      <c r="FW2" s="359"/>
      <c r="FX2" s="359"/>
      <c r="FY2" s="359"/>
      <c r="FZ2" s="359"/>
      <c r="GA2" s="359"/>
      <c r="GB2" s="359"/>
    </row>
    <row r="3" spans="1:184" s="358" customFormat="1" ht="2.1" customHeight="1" thickBot="1" x14ac:dyDescent="0.25">
      <c r="A3" s="393"/>
      <c r="B3" s="394"/>
      <c r="C3" s="1320">
        <v>1</v>
      </c>
      <c r="D3" s="400"/>
      <c r="E3" s="400"/>
      <c r="F3" s="1328">
        <v>2</v>
      </c>
      <c r="G3" s="401"/>
      <c r="H3" s="395"/>
      <c r="I3" s="395"/>
      <c r="J3" s="395"/>
      <c r="K3" s="402"/>
      <c r="L3" s="395"/>
      <c r="M3" s="395"/>
      <c r="N3" s="395"/>
      <c r="O3" s="395"/>
      <c r="P3" s="395"/>
      <c r="Q3" s="395"/>
      <c r="R3" s="395"/>
      <c r="S3" s="395"/>
      <c r="T3" s="395"/>
      <c r="U3" s="395"/>
      <c r="V3" s="395"/>
      <c r="W3" s="395"/>
      <c r="X3" s="395"/>
      <c r="Y3" s="395"/>
      <c r="Z3" s="395"/>
      <c r="AA3" s="395"/>
      <c r="AB3" s="403"/>
      <c r="AC3" s="395"/>
      <c r="AD3" s="395"/>
      <c r="AE3" s="395"/>
      <c r="AF3" s="395"/>
      <c r="AG3" s="395"/>
      <c r="AH3" s="403"/>
      <c r="AI3" s="395"/>
      <c r="AJ3" s="395"/>
      <c r="AK3" s="395"/>
      <c r="AL3" s="395"/>
      <c r="AM3" s="395"/>
      <c r="AN3" s="399"/>
      <c r="AP3" s="359"/>
      <c r="AQ3" s="359"/>
      <c r="AR3" s="359"/>
      <c r="AS3" s="359"/>
      <c r="AT3" s="359"/>
      <c r="AU3" s="359"/>
      <c r="AV3" s="359"/>
      <c r="AW3" s="359"/>
      <c r="AX3" s="359"/>
      <c r="AY3" s="359"/>
      <c r="AZ3" s="359"/>
      <c r="BA3" s="359"/>
      <c r="BB3" s="359"/>
      <c r="BC3" s="359"/>
      <c r="BD3" s="359"/>
      <c r="BE3" s="359"/>
      <c r="BF3" s="359"/>
      <c r="BG3" s="359"/>
      <c r="BH3" s="359"/>
      <c r="BI3" s="359"/>
      <c r="BJ3" s="359"/>
      <c r="BK3" s="359"/>
      <c r="BL3" s="359"/>
      <c r="BM3" s="359"/>
      <c r="BN3" s="359"/>
      <c r="BO3" s="359"/>
      <c r="BP3" s="359"/>
      <c r="BQ3" s="359"/>
      <c r="BR3" s="359"/>
      <c r="BS3" s="359"/>
      <c r="BT3" s="359"/>
      <c r="BU3" s="359"/>
      <c r="BV3" s="359"/>
      <c r="BW3" s="359"/>
      <c r="BX3" s="359"/>
      <c r="BY3" s="359"/>
      <c r="BZ3" s="359"/>
      <c r="CA3" s="359"/>
      <c r="CB3" s="359"/>
      <c r="CC3" s="359"/>
      <c r="CD3" s="359"/>
      <c r="CE3" s="359"/>
      <c r="CF3" s="359"/>
      <c r="CG3" s="359"/>
      <c r="CH3" s="359"/>
      <c r="CI3" s="359"/>
      <c r="CJ3" s="359"/>
      <c r="CK3" s="359"/>
      <c r="CL3" s="359"/>
      <c r="CM3" s="359"/>
      <c r="CN3" s="359"/>
      <c r="CO3" s="359"/>
      <c r="CP3" s="359"/>
      <c r="CQ3" s="359"/>
      <c r="CR3" s="359"/>
      <c r="CS3" s="359"/>
      <c r="CT3" s="359"/>
      <c r="CU3" s="359"/>
      <c r="CV3" s="359"/>
      <c r="CW3" s="359"/>
      <c r="CX3" s="359"/>
      <c r="CY3" s="359"/>
      <c r="CZ3" s="359"/>
      <c r="DA3" s="359"/>
      <c r="DB3" s="359"/>
      <c r="DC3" s="359"/>
      <c r="DD3" s="359"/>
      <c r="DE3" s="359"/>
      <c r="DF3" s="359"/>
      <c r="DG3" s="359"/>
      <c r="DH3" s="359"/>
      <c r="DI3" s="359"/>
      <c r="DJ3" s="359"/>
      <c r="DK3" s="359"/>
      <c r="DL3" s="359"/>
      <c r="DM3" s="359"/>
      <c r="DN3" s="359"/>
      <c r="DO3" s="359"/>
      <c r="DP3" s="359"/>
      <c r="DQ3" s="359"/>
      <c r="DR3" s="359"/>
      <c r="DS3" s="359"/>
      <c r="DT3" s="359"/>
      <c r="DU3" s="359"/>
      <c r="DV3" s="359"/>
      <c r="DW3" s="359"/>
      <c r="DX3" s="359"/>
      <c r="DY3" s="359"/>
      <c r="DZ3" s="359"/>
      <c r="EA3" s="359"/>
      <c r="EB3" s="359"/>
      <c r="EC3" s="359"/>
      <c r="ED3" s="359"/>
      <c r="EE3" s="359"/>
      <c r="EF3" s="359"/>
      <c r="EG3" s="359"/>
      <c r="EH3" s="359"/>
      <c r="EI3" s="359"/>
      <c r="EJ3" s="359"/>
      <c r="EK3" s="359"/>
      <c r="EL3" s="359"/>
      <c r="EM3" s="359"/>
      <c r="EN3" s="359"/>
      <c r="EO3" s="359"/>
      <c r="EP3" s="359"/>
      <c r="EQ3" s="359"/>
      <c r="ER3" s="359"/>
      <c r="ES3" s="359"/>
      <c r="ET3" s="359"/>
      <c r="EU3" s="359"/>
      <c r="EV3" s="359"/>
      <c r="EW3" s="359"/>
      <c r="EX3" s="359"/>
      <c r="EY3" s="359"/>
      <c r="EZ3" s="359"/>
      <c r="FA3" s="359"/>
      <c r="FB3" s="359"/>
      <c r="FC3" s="359"/>
      <c r="FD3" s="359"/>
      <c r="FE3" s="359"/>
      <c r="FF3" s="359"/>
      <c r="FG3" s="359"/>
      <c r="FH3" s="359"/>
      <c r="FI3" s="359"/>
      <c r="FJ3" s="359"/>
      <c r="FK3" s="359"/>
      <c r="FL3" s="359"/>
      <c r="FM3" s="359"/>
      <c r="FN3" s="359"/>
      <c r="FO3" s="359"/>
      <c r="FP3" s="359"/>
      <c r="FQ3" s="359"/>
      <c r="FR3" s="359"/>
      <c r="FS3" s="359"/>
      <c r="FT3" s="359"/>
      <c r="FU3" s="359"/>
      <c r="FV3" s="359"/>
      <c r="FW3" s="359"/>
      <c r="FX3" s="359"/>
      <c r="FY3" s="359"/>
      <c r="FZ3" s="359"/>
      <c r="GA3" s="359"/>
      <c r="GB3" s="359"/>
    </row>
    <row r="4" spans="1:184" s="359" customFormat="1" ht="15.75" customHeight="1" x14ac:dyDescent="0.2">
      <c r="A4" s="393"/>
      <c r="B4" s="404"/>
      <c r="C4" s="405"/>
      <c r="D4" s="1323" t="s">
        <v>132</v>
      </c>
      <c r="E4" s="406"/>
      <c r="F4" s="407"/>
      <c r="G4" s="408"/>
      <c r="H4" s="409"/>
      <c r="I4" s="410" t="s">
        <v>144</v>
      </c>
      <c r="J4" s="411"/>
      <c r="K4" s="411"/>
      <c r="L4" s="411"/>
      <c r="M4" s="412"/>
      <c r="N4" s="395"/>
      <c r="O4" s="395"/>
      <c r="P4" s="395"/>
      <c r="Q4" s="395"/>
      <c r="R4" s="395"/>
      <c r="S4" s="395"/>
      <c r="T4" s="395"/>
      <c r="U4" s="402"/>
      <c r="V4" s="402"/>
      <c r="W4" s="402"/>
      <c r="X4" s="402"/>
      <c r="Y4" s="395"/>
      <c r="Z4" s="395"/>
      <c r="AA4" s="394"/>
      <c r="AB4" s="413"/>
      <c r="AC4" s="395"/>
      <c r="AD4" s="395"/>
      <c r="AE4" s="395"/>
      <c r="AF4" s="395"/>
      <c r="AG4" s="395"/>
      <c r="AH4" s="413"/>
      <c r="AI4" s="395"/>
      <c r="AJ4" s="395"/>
      <c r="AK4" s="395"/>
      <c r="AL4" s="395"/>
      <c r="AM4" s="395"/>
      <c r="AN4" s="399"/>
      <c r="AO4" s="27"/>
    </row>
    <row r="5" spans="1:184" s="359" customFormat="1" ht="15.75" customHeight="1" x14ac:dyDescent="0.2">
      <c r="A5" s="393"/>
      <c r="B5" s="404"/>
      <c r="C5" s="405"/>
      <c r="D5" s="1324" t="s">
        <v>133</v>
      </c>
      <c r="E5" s="414"/>
      <c r="F5" s="415"/>
      <c r="G5" s="416"/>
      <c r="H5" s="409"/>
      <c r="I5" s="22">
        <v>1</v>
      </c>
      <c r="J5" s="417" t="s">
        <v>142</v>
      </c>
      <c r="K5" s="418"/>
      <c r="L5" s="418"/>
      <c r="M5" s="419"/>
      <c r="N5" s="395"/>
      <c r="O5" s="395"/>
      <c r="P5" s="395"/>
      <c r="Q5" s="395"/>
      <c r="R5" s="395"/>
      <c r="S5" s="395"/>
      <c r="T5" s="395"/>
      <c r="U5" s="402"/>
      <c r="V5" s="402"/>
      <c r="W5" s="402"/>
      <c r="X5" s="402"/>
      <c r="Y5" s="395"/>
      <c r="Z5" s="395"/>
      <c r="AA5" s="394"/>
      <c r="AB5" s="413"/>
      <c r="AC5" s="395"/>
      <c r="AD5" s="395"/>
      <c r="AE5" s="395"/>
      <c r="AF5" s="395"/>
      <c r="AG5" s="395"/>
      <c r="AH5" s="413"/>
      <c r="AI5" s="395"/>
      <c r="AJ5" s="395"/>
      <c r="AK5" s="395"/>
      <c r="AL5" s="395"/>
      <c r="AM5" s="395"/>
      <c r="AN5" s="399"/>
      <c r="AO5" s="27"/>
    </row>
    <row r="6" spans="1:184" s="359" customFormat="1" ht="15.75" customHeight="1" thickBot="1" x14ac:dyDescent="0.25">
      <c r="A6" s="393"/>
      <c r="B6" s="404"/>
      <c r="C6" s="405"/>
      <c r="D6" s="1325" t="s">
        <v>134</v>
      </c>
      <c r="E6" s="420"/>
      <c r="F6" s="421"/>
      <c r="G6" s="422"/>
      <c r="H6" s="409"/>
      <c r="I6" s="1326"/>
      <c r="J6" s="423" t="s">
        <v>143</v>
      </c>
      <c r="K6" s="424"/>
      <c r="L6" s="424"/>
      <c r="M6" s="425"/>
      <c r="N6" s="395"/>
      <c r="O6" s="395"/>
      <c r="P6" s="395"/>
      <c r="Q6" s="395"/>
      <c r="R6" s="395"/>
      <c r="S6" s="395"/>
      <c r="T6" s="395"/>
      <c r="U6" s="402"/>
      <c r="V6" s="402"/>
      <c r="W6" s="402"/>
      <c r="X6" s="402"/>
      <c r="Y6" s="395"/>
      <c r="Z6" s="395"/>
      <c r="AA6" s="394"/>
      <c r="AB6" s="413"/>
      <c r="AC6" s="395"/>
      <c r="AD6" s="395"/>
      <c r="AE6" s="395"/>
      <c r="AF6" s="395"/>
      <c r="AG6" s="395"/>
      <c r="AH6" s="413"/>
      <c r="AI6" s="395"/>
      <c r="AJ6" s="395"/>
      <c r="AK6" s="395"/>
      <c r="AL6" s="395"/>
      <c r="AM6" s="395"/>
      <c r="AN6" s="399"/>
      <c r="AO6" s="27"/>
    </row>
    <row r="7" spans="1:184" s="359" customFormat="1" ht="4.5" customHeight="1" thickBot="1" x14ac:dyDescent="0.25">
      <c r="A7" s="426"/>
      <c r="B7" s="427"/>
      <c r="C7" s="427"/>
      <c r="D7" s="427"/>
      <c r="E7" s="427"/>
      <c r="F7" s="427"/>
      <c r="G7" s="428"/>
      <c r="H7" s="427"/>
      <c r="I7" s="427"/>
      <c r="J7" s="427"/>
      <c r="K7" s="427"/>
      <c r="L7" s="427"/>
      <c r="M7" s="427"/>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30"/>
      <c r="AO7" s="27"/>
    </row>
    <row r="8" spans="1:184" s="361" customFormat="1" ht="18.75" customHeight="1" thickBot="1" x14ac:dyDescent="0.25">
      <c r="A8" s="431"/>
      <c r="B8" s="432"/>
      <c r="C8" s="433"/>
      <c r="D8" s="434" t="s">
        <v>125</v>
      </c>
      <c r="E8" s="434"/>
      <c r="F8" s="435" t="s">
        <v>202</v>
      </c>
      <c r="G8" s="408"/>
      <c r="H8" s="436" t="s">
        <v>0</v>
      </c>
      <c r="I8" s="1441" t="s">
        <v>128</v>
      </c>
      <c r="J8" s="437" t="s">
        <v>1</v>
      </c>
      <c r="K8" s="438" t="s">
        <v>2</v>
      </c>
      <c r="L8" s="439"/>
      <c r="M8" s="440"/>
      <c r="N8" s="441"/>
      <c r="O8" s="441"/>
      <c r="P8" s="441"/>
      <c r="Q8" s="441"/>
      <c r="R8" s="441"/>
      <c r="S8" s="441"/>
      <c r="T8" s="441"/>
      <c r="U8" s="441"/>
      <c r="V8" s="442"/>
      <c r="W8" s="442"/>
      <c r="X8" s="442"/>
      <c r="Y8" s="442"/>
      <c r="Z8" s="442"/>
      <c r="AA8" s="442"/>
      <c r="AB8" s="442"/>
      <c r="AC8" s="442"/>
      <c r="AD8" s="442"/>
      <c r="AE8" s="442"/>
      <c r="AF8" s="442"/>
      <c r="AG8" s="442"/>
      <c r="AH8" s="442"/>
      <c r="AI8" s="442"/>
      <c r="AJ8" s="442"/>
      <c r="AK8" s="442"/>
      <c r="AL8" s="442"/>
      <c r="AM8" s="442"/>
      <c r="AN8" s="443"/>
      <c r="AO8" s="28"/>
      <c r="AP8" s="359"/>
      <c r="AQ8" s="359"/>
      <c r="AR8" s="359"/>
      <c r="AS8" s="359"/>
      <c r="AT8" s="359"/>
      <c r="AU8" s="359"/>
      <c r="AV8" s="359"/>
      <c r="AW8" s="359"/>
      <c r="AX8" s="359"/>
      <c r="AY8" s="359"/>
      <c r="AZ8" s="359"/>
      <c r="BA8" s="359"/>
      <c r="BB8" s="359"/>
      <c r="BC8" s="359"/>
      <c r="BD8" s="359"/>
      <c r="BE8" s="359"/>
      <c r="BF8" s="359"/>
      <c r="BG8" s="359"/>
      <c r="BH8" s="359"/>
      <c r="BI8" s="359"/>
      <c r="BJ8" s="359"/>
      <c r="BK8" s="359"/>
      <c r="BL8" s="359"/>
      <c r="BM8" s="359"/>
      <c r="BN8" s="359"/>
      <c r="BO8" s="359"/>
      <c r="BP8" s="359"/>
      <c r="BQ8" s="359"/>
      <c r="BR8" s="359"/>
      <c r="BS8" s="359"/>
      <c r="BT8" s="359"/>
      <c r="BU8" s="359"/>
      <c r="BV8" s="359"/>
      <c r="BW8" s="359"/>
      <c r="BX8" s="359"/>
      <c r="BY8" s="359"/>
      <c r="BZ8" s="359"/>
      <c r="CA8" s="359"/>
      <c r="CB8" s="359"/>
      <c r="CC8" s="359"/>
      <c r="CD8" s="359"/>
      <c r="CE8" s="359"/>
      <c r="CF8" s="359"/>
      <c r="CG8" s="359"/>
      <c r="CH8" s="359"/>
      <c r="CI8" s="359"/>
      <c r="CJ8" s="359"/>
      <c r="CK8" s="359"/>
      <c r="CL8" s="359"/>
      <c r="CM8" s="359"/>
      <c r="CN8" s="359"/>
      <c r="CO8" s="359"/>
      <c r="CP8" s="359"/>
      <c r="CQ8" s="359"/>
      <c r="CR8" s="359"/>
      <c r="CS8" s="359"/>
      <c r="CT8" s="359"/>
      <c r="CU8" s="359"/>
      <c r="CV8" s="359"/>
      <c r="CW8" s="359"/>
      <c r="CX8" s="359"/>
      <c r="CY8" s="359"/>
      <c r="CZ8" s="359"/>
      <c r="DA8" s="359"/>
      <c r="DB8" s="359"/>
      <c r="DC8" s="359"/>
      <c r="DD8" s="359"/>
      <c r="DE8" s="359"/>
      <c r="DF8" s="359"/>
      <c r="DG8" s="359"/>
      <c r="DH8" s="359"/>
      <c r="DI8" s="359"/>
      <c r="DJ8" s="359"/>
      <c r="DK8" s="359"/>
      <c r="DL8" s="359"/>
      <c r="DM8" s="359"/>
      <c r="DN8" s="359"/>
      <c r="DO8" s="359"/>
      <c r="DP8" s="359"/>
      <c r="DQ8" s="359"/>
      <c r="DR8" s="359"/>
      <c r="DS8" s="359"/>
      <c r="DT8" s="359"/>
      <c r="DU8" s="359"/>
      <c r="DV8" s="359"/>
      <c r="DW8" s="359"/>
      <c r="DX8" s="359"/>
      <c r="DY8" s="359"/>
      <c r="DZ8" s="359"/>
      <c r="EA8" s="359"/>
      <c r="EB8" s="359"/>
      <c r="EC8" s="359"/>
      <c r="ED8" s="359"/>
      <c r="EE8" s="359"/>
      <c r="EF8" s="359"/>
      <c r="EG8" s="359"/>
      <c r="EH8" s="359"/>
      <c r="EI8" s="359"/>
      <c r="EJ8" s="359"/>
      <c r="EK8" s="359"/>
      <c r="EL8" s="359"/>
      <c r="EM8" s="359"/>
      <c r="EN8" s="359"/>
      <c r="EO8" s="359"/>
      <c r="EP8" s="359"/>
      <c r="EQ8" s="359"/>
      <c r="ER8" s="359"/>
      <c r="ES8" s="359"/>
      <c r="ET8" s="359"/>
      <c r="EU8" s="359"/>
      <c r="EV8" s="359"/>
      <c r="EW8" s="359"/>
      <c r="EX8" s="359"/>
      <c r="EY8" s="359"/>
      <c r="EZ8" s="359"/>
      <c r="FA8" s="359"/>
      <c r="FB8" s="359"/>
      <c r="FC8" s="359"/>
      <c r="FD8" s="359"/>
      <c r="FE8" s="359"/>
      <c r="FF8" s="359"/>
      <c r="FG8" s="359"/>
      <c r="FH8" s="359"/>
      <c r="FI8" s="359"/>
      <c r="FJ8" s="359"/>
      <c r="FK8" s="359"/>
      <c r="FL8" s="359"/>
      <c r="FM8" s="359"/>
      <c r="FN8" s="359"/>
      <c r="FO8" s="359"/>
      <c r="FP8" s="359"/>
      <c r="FQ8" s="359"/>
      <c r="FR8" s="359"/>
      <c r="FS8" s="359"/>
      <c r="FT8" s="359"/>
      <c r="FU8" s="359"/>
      <c r="FV8" s="359"/>
      <c r="FW8" s="359"/>
      <c r="FX8" s="359"/>
      <c r="FY8" s="359"/>
      <c r="FZ8" s="359"/>
      <c r="GA8" s="359"/>
      <c r="GB8" s="359"/>
    </row>
    <row r="9" spans="1:184" s="363" customFormat="1" ht="18.75" customHeight="1" thickBot="1" x14ac:dyDescent="0.25">
      <c r="A9" s="426"/>
      <c r="B9" s="427"/>
      <c r="C9" s="444"/>
      <c r="D9" s="315" t="s">
        <v>557</v>
      </c>
      <c r="E9" s="445"/>
      <c r="F9" s="339"/>
      <c r="G9" s="446"/>
      <c r="H9" s="447"/>
      <c r="I9" s="1442"/>
      <c r="J9" s="448"/>
      <c r="K9" s="449" t="s">
        <v>217</v>
      </c>
      <c r="L9" s="447" t="s">
        <v>4</v>
      </c>
      <c r="M9" s="448" t="s">
        <v>5</v>
      </c>
      <c r="N9" s="441"/>
      <c r="O9" s="441"/>
      <c r="P9" s="441"/>
      <c r="Q9" s="441"/>
      <c r="R9" s="441"/>
      <c r="S9" s="441"/>
      <c r="T9" s="441"/>
      <c r="U9" s="441"/>
      <c r="V9" s="450"/>
      <c r="W9" s="451" t="str">
        <f>"Bedarf de"&amp;IF(Art=1,"r Kuh",IF(Art=2,"s Schafes",IF(Art=3,"r Ziege","")))</f>
        <v>Bedarf der Kuh</v>
      </c>
      <c r="X9" s="452"/>
      <c r="Y9" s="453"/>
      <c r="Z9" s="453"/>
      <c r="AA9" s="453"/>
      <c r="AB9" s="453"/>
      <c r="AC9" s="453"/>
      <c r="AD9" s="453"/>
      <c r="AE9" s="453"/>
      <c r="AF9" s="454"/>
      <c r="AG9" s="455"/>
      <c r="AH9" s="453"/>
      <c r="AI9" s="453"/>
      <c r="AJ9" s="453"/>
      <c r="AK9" s="456"/>
      <c r="AL9" s="457"/>
      <c r="AM9" s="458"/>
      <c r="AN9" s="430"/>
      <c r="AO9" s="316"/>
      <c r="AP9" s="359"/>
      <c r="AQ9" s="359"/>
      <c r="AR9" s="359"/>
      <c r="AS9" s="359"/>
      <c r="AT9" s="359"/>
      <c r="AU9" s="359"/>
      <c r="AV9" s="359"/>
      <c r="AW9" s="359"/>
      <c r="AX9" s="359"/>
      <c r="AY9" s="359"/>
      <c r="AZ9" s="359"/>
      <c r="BA9" s="359"/>
      <c r="BB9" s="359"/>
      <c r="BC9" s="359"/>
      <c r="BD9" s="359"/>
      <c r="BE9" s="359"/>
      <c r="BF9" s="359"/>
      <c r="BG9" s="359"/>
      <c r="BH9" s="359"/>
      <c r="BI9" s="359"/>
      <c r="BJ9" s="359"/>
      <c r="BK9" s="359"/>
      <c r="BL9" s="359"/>
      <c r="BM9" s="359"/>
      <c r="BN9" s="359"/>
      <c r="BO9" s="359"/>
      <c r="BP9" s="359"/>
      <c r="BQ9" s="359"/>
      <c r="BR9" s="359"/>
      <c r="BS9" s="359"/>
      <c r="BT9" s="359"/>
      <c r="BU9" s="359"/>
      <c r="BV9" s="359"/>
      <c r="BW9" s="359"/>
      <c r="BX9" s="359"/>
      <c r="BY9" s="359"/>
      <c r="BZ9" s="359"/>
      <c r="CA9" s="359"/>
      <c r="CB9" s="359"/>
      <c r="CC9" s="359"/>
      <c r="CD9" s="359"/>
      <c r="CE9" s="359"/>
      <c r="CF9" s="359"/>
      <c r="CG9" s="359"/>
      <c r="CH9" s="359"/>
      <c r="CI9" s="359"/>
      <c r="CJ9" s="359"/>
      <c r="CK9" s="359"/>
      <c r="CL9" s="359"/>
      <c r="CM9" s="359"/>
      <c r="CN9" s="359"/>
      <c r="CO9" s="359"/>
      <c r="CP9" s="359"/>
      <c r="CQ9" s="359"/>
      <c r="CR9" s="359"/>
      <c r="CS9" s="359"/>
      <c r="CT9" s="359"/>
      <c r="CU9" s="359"/>
      <c r="CV9" s="359"/>
      <c r="CW9" s="359"/>
      <c r="CX9" s="359"/>
      <c r="CY9" s="359"/>
      <c r="CZ9" s="359"/>
      <c r="DA9" s="359"/>
      <c r="DB9" s="359"/>
      <c r="DC9" s="359"/>
      <c r="DD9" s="359"/>
      <c r="DE9" s="359"/>
      <c r="DF9" s="359"/>
      <c r="DG9" s="359"/>
      <c r="DH9" s="359"/>
      <c r="DI9" s="359"/>
      <c r="DJ9" s="359"/>
      <c r="DK9" s="359"/>
      <c r="DL9" s="359"/>
      <c r="DM9" s="359"/>
      <c r="DN9" s="359"/>
      <c r="DO9" s="359"/>
      <c r="DP9" s="359"/>
      <c r="DQ9" s="359"/>
      <c r="DR9" s="359"/>
      <c r="DS9" s="359"/>
      <c r="DT9" s="359"/>
      <c r="DU9" s="359"/>
      <c r="DV9" s="359"/>
      <c r="DW9" s="359"/>
      <c r="DX9" s="359"/>
      <c r="DY9" s="359"/>
      <c r="DZ9" s="359"/>
      <c r="EA9" s="359"/>
      <c r="EB9" s="359"/>
      <c r="EC9" s="359"/>
      <c r="ED9" s="359"/>
      <c r="EE9" s="359"/>
      <c r="EF9" s="359"/>
      <c r="EG9" s="359"/>
      <c r="EH9" s="359"/>
      <c r="EI9" s="359"/>
      <c r="EJ9" s="359"/>
      <c r="EK9" s="359"/>
      <c r="EL9" s="359"/>
      <c r="EM9" s="359"/>
      <c r="EN9" s="359"/>
      <c r="EO9" s="359"/>
      <c r="EP9" s="359"/>
      <c r="EQ9" s="359"/>
      <c r="ER9" s="359"/>
      <c r="ES9" s="359"/>
      <c r="ET9" s="359"/>
      <c r="EU9" s="359"/>
      <c r="EV9" s="359"/>
      <c r="EW9" s="359"/>
      <c r="EX9" s="359"/>
      <c r="EY9" s="359"/>
      <c r="EZ9" s="359"/>
      <c r="FA9" s="359"/>
      <c r="FB9" s="359"/>
      <c r="FC9" s="359"/>
      <c r="FD9" s="359"/>
      <c r="FE9" s="359"/>
      <c r="FF9" s="359"/>
      <c r="FG9" s="359"/>
      <c r="FH9" s="359"/>
      <c r="FI9" s="359"/>
      <c r="FJ9" s="359"/>
      <c r="FK9" s="359"/>
      <c r="FL9" s="359"/>
      <c r="FM9" s="359"/>
      <c r="FN9" s="359"/>
      <c r="FO9" s="359"/>
      <c r="FP9" s="359"/>
      <c r="FQ9" s="359"/>
      <c r="FR9" s="359"/>
      <c r="FS9" s="359"/>
      <c r="FT9" s="359"/>
      <c r="FU9" s="359"/>
      <c r="FV9" s="359"/>
      <c r="FW9" s="359"/>
      <c r="FX9" s="359"/>
      <c r="FY9" s="359"/>
      <c r="FZ9" s="359"/>
      <c r="GA9" s="359"/>
      <c r="GB9" s="359"/>
    </row>
    <row r="10" spans="1:184" s="363" customFormat="1" ht="18.600000000000001" customHeight="1" thickBot="1" x14ac:dyDescent="0.25">
      <c r="A10" s="459"/>
      <c r="B10" s="427"/>
      <c r="C10" s="444"/>
      <c r="D10" s="1321"/>
      <c r="E10" s="364"/>
      <c r="F10" s="1449" t="str">
        <f>IF(Art=1,"Holstein",IF(Art=2,"Milchschaf",IF(Art=3,"Milchziege")))</f>
        <v>Holstein</v>
      </c>
      <c r="G10" s="1450"/>
      <c r="H10" s="460" t="s">
        <v>7</v>
      </c>
      <c r="I10" s="460" t="s">
        <v>173</v>
      </c>
      <c r="J10" s="461" t="s">
        <v>9</v>
      </c>
      <c r="K10" s="462" t="s">
        <v>10</v>
      </c>
      <c r="L10" s="463" t="s">
        <v>11</v>
      </c>
      <c r="M10" s="461" t="s">
        <v>11</v>
      </c>
      <c r="N10" s="441"/>
      <c r="O10" s="441"/>
      <c r="P10" s="441"/>
      <c r="Q10" s="441"/>
      <c r="R10" s="441"/>
      <c r="S10" s="441"/>
      <c r="T10" s="441"/>
      <c r="U10" s="441"/>
      <c r="V10" s="450"/>
      <c r="W10" s="464" t="str">
        <f>W18</f>
        <v>TM kg</v>
      </c>
      <c r="X10" s="465"/>
      <c r="Y10" s="466" t="str">
        <f t="shared" ref="Y10:AK10" si="0">Y18</f>
        <v>NEL</v>
      </c>
      <c r="Z10" s="466"/>
      <c r="AA10" s="466" t="str">
        <f t="shared" si="0"/>
        <v>nXP</v>
      </c>
      <c r="AB10" s="466" t="str">
        <f t="shared" si="0"/>
        <v>RNB</v>
      </c>
      <c r="AC10" s="466" t="str">
        <f t="shared" si="0"/>
        <v>XS</v>
      </c>
      <c r="AD10" s="466" t="str">
        <f t="shared" si="0"/>
        <v>XS+XZ-bXS</v>
      </c>
      <c r="AE10" s="466" t="str">
        <f t="shared" si="0"/>
        <v>aNDFom</v>
      </c>
      <c r="AF10" s="467" t="s">
        <v>531</v>
      </c>
      <c r="AG10" s="465" t="str">
        <f>AG18</f>
        <v>NFC</v>
      </c>
      <c r="AH10" s="466" t="str">
        <f t="shared" si="0"/>
        <v>bXS</v>
      </c>
      <c r="AI10" s="466" t="str">
        <f t="shared" si="0"/>
        <v>XZ</v>
      </c>
      <c r="AJ10" s="466" t="str">
        <f t="shared" si="0"/>
        <v>XL</v>
      </c>
      <c r="AK10" s="466" t="str">
        <f t="shared" si="0"/>
        <v>XP</v>
      </c>
      <c r="AL10" s="457"/>
      <c r="AM10" s="458"/>
      <c r="AN10" s="468"/>
      <c r="AO10" s="316"/>
      <c r="AP10" s="359"/>
      <c r="AQ10" s="359"/>
      <c r="AR10" s="359"/>
      <c r="AS10" s="359"/>
      <c r="AT10" s="359"/>
      <c r="AU10" s="359"/>
      <c r="AV10" s="359"/>
      <c r="AW10" s="359"/>
      <c r="AX10" s="359"/>
      <c r="AY10" s="359"/>
      <c r="AZ10" s="359"/>
      <c r="BA10" s="359"/>
      <c r="BB10" s="359"/>
      <c r="BC10" s="359"/>
      <c r="BD10" s="359"/>
      <c r="BE10" s="359"/>
      <c r="BF10" s="359"/>
      <c r="BG10" s="359"/>
      <c r="BH10" s="359"/>
      <c r="BI10" s="359"/>
      <c r="BJ10" s="359"/>
      <c r="BK10" s="359"/>
      <c r="BL10" s="359"/>
      <c r="BM10" s="359"/>
      <c r="BN10" s="359"/>
      <c r="BO10" s="359"/>
      <c r="BP10" s="359"/>
      <c r="BQ10" s="359"/>
      <c r="BR10" s="359"/>
      <c r="BS10" s="359"/>
      <c r="BT10" s="359"/>
      <c r="BU10" s="359"/>
      <c r="BV10" s="359"/>
      <c r="BW10" s="359"/>
      <c r="BX10" s="359"/>
      <c r="BY10" s="359"/>
      <c r="BZ10" s="359"/>
      <c r="CA10" s="359"/>
      <c r="CB10" s="359"/>
      <c r="CC10" s="359"/>
      <c r="CD10" s="359"/>
      <c r="CE10" s="359"/>
      <c r="CF10" s="359"/>
      <c r="CG10" s="359"/>
      <c r="CH10" s="359"/>
      <c r="CI10" s="359"/>
      <c r="CJ10" s="359"/>
      <c r="CK10" s="359"/>
      <c r="CL10" s="359"/>
      <c r="CM10" s="359"/>
      <c r="CN10" s="359"/>
      <c r="CO10" s="359"/>
      <c r="CP10" s="359"/>
      <c r="CQ10" s="359"/>
      <c r="CR10" s="359"/>
      <c r="CS10" s="359"/>
      <c r="CT10" s="359"/>
      <c r="CU10" s="359"/>
      <c r="CV10" s="359"/>
      <c r="CW10" s="359"/>
      <c r="CX10" s="359"/>
      <c r="CY10" s="359"/>
      <c r="CZ10" s="359"/>
      <c r="DA10" s="359"/>
      <c r="DB10" s="359"/>
      <c r="DC10" s="359"/>
      <c r="DD10" s="359"/>
      <c r="DE10" s="359"/>
      <c r="DF10" s="359"/>
      <c r="DG10" s="359"/>
      <c r="DH10" s="359"/>
      <c r="DI10" s="359"/>
      <c r="DJ10" s="359"/>
      <c r="DK10" s="359"/>
      <c r="DL10" s="359"/>
      <c r="DM10" s="359"/>
      <c r="DN10" s="359"/>
      <c r="DO10" s="359"/>
      <c r="DP10" s="359"/>
      <c r="DQ10" s="359"/>
      <c r="DR10" s="359"/>
      <c r="DS10" s="359"/>
      <c r="DT10" s="359"/>
      <c r="DU10" s="359"/>
      <c r="DV10" s="359"/>
      <c r="DW10" s="359"/>
      <c r="DX10" s="359"/>
      <c r="DY10" s="359"/>
      <c r="DZ10" s="359"/>
      <c r="EA10" s="359"/>
      <c r="EB10" s="359"/>
      <c r="EC10" s="359"/>
      <c r="ED10" s="359"/>
      <c r="EE10" s="359"/>
      <c r="EF10" s="359"/>
      <c r="EG10" s="359"/>
      <c r="EH10" s="359"/>
      <c r="EI10" s="359"/>
      <c r="EJ10" s="359"/>
      <c r="EK10" s="359"/>
      <c r="EL10" s="359"/>
      <c r="EM10" s="359"/>
      <c r="EN10" s="359"/>
      <c r="EO10" s="359"/>
      <c r="EP10" s="359"/>
      <c r="EQ10" s="359"/>
      <c r="ER10" s="359"/>
      <c r="ES10" s="359"/>
      <c r="ET10" s="359"/>
      <c r="EU10" s="359"/>
      <c r="EV10" s="359"/>
      <c r="EW10" s="359"/>
      <c r="EX10" s="359"/>
      <c r="EY10" s="359"/>
      <c r="EZ10" s="359"/>
      <c r="FA10" s="359"/>
      <c r="FB10" s="359"/>
      <c r="FC10" s="359"/>
      <c r="FD10" s="359"/>
      <c r="FE10" s="359"/>
      <c r="FF10" s="359"/>
      <c r="FG10" s="359"/>
      <c r="FH10" s="359"/>
      <c r="FI10" s="359"/>
      <c r="FJ10" s="359"/>
      <c r="FK10" s="359"/>
      <c r="FL10" s="359"/>
      <c r="FM10" s="359"/>
      <c r="FN10" s="359"/>
      <c r="FO10" s="359"/>
      <c r="FP10" s="359"/>
      <c r="FQ10" s="359"/>
      <c r="FR10" s="359"/>
      <c r="FS10" s="359"/>
      <c r="FT10" s="359"/>
      <c r="FU10" s="359"/>
      <c r="FV10" s="359"/>
      <c r="FW10" s="359"/>
      <c r="FX10" s="359"/>
      <c r="FY10" s="359"/>
      <c r="FZ10" s="359"/>
      <c r="GA10" s="359"/>
      <c r="GB10" s="359"/>
    </row>
    <row r="11" spans="1:184" s="363" customFormat="1" ht="20.100000000000001" customHeight="1" thickBot="1" x14ac:dyDescent="0.25">
      <c r="A11" s="459"/>
      <c r="B11" s="469"/>
      <c r="C11" s="1327">
        <v>1</v>
      </c>
      <c r="D11" s="365">
        <v>2</v>
      </c>
      <c r="E11" s="364"/>
      <c r="F11" s="1451" t="str">
        <f>IF(Art=1,"Fleckvieh","")</f>
        <v>Fleckvieh</v>
      </c>
      <c r="G11" s="1452"/>
      <c r="H11" s="311"/>
      <c r="I11" s="33"/>
      <c r="J11" s="34"/>
      <c r="K11" s="35"/>
      <c r="L11" s="36"/>
      <c r="M11" s="37"/>
      <c r="N11" s="441"/>
      <c r="O11" s="441"/>
      <c r="P11" s="441"/>
      <c r="Q11" s="441"/>
      <c r="R11" s="441"/>
      <c r="S11" s="441"/>
      <c r="T11" s="441"/>
      <c r="U11" s="441"/>
      <c r="V11" s="470"/>
      <c r="W11" s="382" t="s">
        <v>9</v>
      </c>
      <c r="X11" s="471"/>
      <c r="Y11" s="472" t="str">
        <f>I19</f>
        <v>MJ</v>
      </c>
      <c r="Z11" s="472"/>
      <c r="AA11" s="472" t="str">
        <f>J19</f>
        <v>g</v>
      </c>
      <c r="AB11" s="473" t="str">
        <f>IF($C$3=1,RNBmin&amp;" bis "&amp;RNBmax&amp;" "&amp;Einstellungen!B8,"")</f>
        <v>-1 bis 0 g/kg TM</v>
      </c>
      <c r="AC11" s="474" t="str">
        <f>"&lt; "&amp;XSmax&amp;Einstellungen!B15</f>
        <v>&lt; 200g/kg TM</v>
      </c>
      <c r="AD11" s="474" t="str">
        <f>"&lt; "&amp;pab_max&amp;" "&amp;Einstellungen!B18</f>
        <v>&lt; 250 g/kg TM</v>
      </c>
      <c r="AE11" s="474" t="str">
        <f>"&gt; "&amp;NDFmin&amp;" "&amp;Einstellungen!B13</f>
        <v>&gt; 325 g/kg TM</v>
      </c>
      <c r="AF11" s="475" t="str">
        <f>"&gt; "&amp;aNDFomGF_min&amp;" "&amp;Einstellungen!B13</f>
        <v>&gt; 280 g/kg TM</v>
      </c>
      <c r="AG11" s="476" t="str">
        <f>"&lt; "&amp;NFCmax&amp;" "&amp;Einstellungen!B10</f>
        <v>&lt; 390 g/kg TM</v>
      </c>
      <c r="AH11" s="477" t="s">
        <v>553</v>
      </c>
      <c r="AI11" s="477" t="str">
        <f>"&lt; "&amp;XZmax&amp;" "&amp;Einstellungen!B16</f>
        <v>&lt; 60 g/kg TM</v>
      </c>
      <c r="AJ11" s="477" t="str">
        <f>"&lt; "&amp;XLmax&amp;" "&amp;Einstellungen!B17</f>
        <v>&lt; 40 g/kg TM</v>
      </c>
      <c r="AK11" s="477"/>
      <c r="AL11" s="457"/>
      <c r="AM11" s="458"/>
      <c r="AN11" s="468"/>
      <c r="AO11" s="316"/>
      <c r="AP11" s="359"/>
      <c r="AQ11" s="359"/>
      <c r="AR11" s="359"/>
      <c r="AS11" s="359"/>
      <c r="AT11" s="359"/>
      <c r="AU11" s="359"/>
      <c r="AV11" s="359"/>
      <c r="AW11" s="359"/>
      <c r="AX11" s="359"/>
      <c r="AY11" s="359"/>
      <c r="AZ11" s="359"/>
      <c r="BA11" s="359"/>
      <c r="BB11" s="359"/>
      <c r="BC11" s="359"/>
      <c r="BD11" s="359"/>
      <c r="BE11" s="359"/>
      <c r="BF11" s="359"/>
      <c r="BG11" s="359"/>
      <c r="BH11" s="359"/>
      <c r="BI11" s="359"/>
      <c r="BJ11" s="359"/>
      <c r="BK11" s="359"/>
      <c r="BL11" s="359"/>
      <c r="BM11" s="359"/>
      <c r="BN11" s="359"/>
      <c r="BO11" s="359"/>
      <c r="BP11" s="359"/>
      <c r="BQ11" s="359"/>
      <c r="BR11" s="359"/>
      <c r="BS11" s="359"/>
      <c r="BT11" s="359"/>
      <c r="BU11" s="359"/>
      <c r="BV11" s="359"/>
      <c r="BW11" s="359"/>
      <c r="BX11" s="359"/>
      <c r="BY11" s="359"/>
      <c r="BZ11" s="359"/>
      <c r="CA11" s="359"/>
      <c r="CB11" s="359"/>
      <c r="CC11" s="359"/>
      <c r="CD11" s="359"/>
      <c r="CE11" s="359"/>
      <c r="CF11" s="359"/>
      <c r="CG11" s="359"/>
      <c r="CH11" s="359"/>
      <c r="CI11" s="359"/>
      <c r="CJ11" s="359"/>
      <c r="CK11" s="359"/>
      <c r="CL11" s="359"/>
      <c r="CM11" s="359"/>
      <c r="CN11" s="359"/>
      <c r="CO11" s="359"/>
      <c r="CP11" s="359"/>
      <c r="CQ11" s="359"/>
      <c r="CR11" s="359"/>
      <c r="CS11" s="359"/>
      <c r="CT11" s="359"/>
      <c r="CU11" s="359"/>
      <c r="CV11" s="359"/>
      <c r="CW11" s="359"/>
      <c r="CX11" s="359"/>
      <c r="CY11" s="359"/>
      <c r="CZ11" s="359"/>
      <c r="DA11" s="359"/>
      <c r="DB11" s="359"/>
      <c r="DC11" s="359"/>
      <c r="DD11" s="359"/>
      <c r="DE11" s="359"/>
      <c r="DF11" s="359"/>
      <c r="DG11" s="359"/>
      <c r="DH11" s="359"/>
      <c r="DI11" s="359"/>
      <c r="DJ11" s="359"/>
      <c r="DK11" s="359"/>
      <c r="DL11" s="359"/>
      <c r="DM11" s="359"/>
      <c r="DN11" s="359"/>
      <c r="DO11" s="359"/>
      <c r="DP11" s="359"/>
      <c r="DQ11" s="359"/>
      <c r="DR11" s="359"/>
      <c r="DS11" s="359"/>
      <c r="DT11" s="359"/>
      <c r="DU11" s="359"/>
      <c r="DV11" s="359"/>
      <c r="DW11" s="359"/>
      <c r="DX11" s="359"/>
      <c r="DY11" s="359"/>
      <c r="DZ11" s="359"/>
      <c r="EA11" s="359"/>
      <c r="EB11" s="359"/>
      <c r="EC11" s="359"/>
      <c r="ED11" s="359"/>
      <c r="EE11" s="359"/>
      <c r="EF11" s="359"/>
      <c r="EG11" s="359"/>
      <c r="EH11" s="359"/>
      <c r="EI11" s="359"/>
      <c r="EJ11" s="359"/>
      <c r="EK11" s="359"/>
      <c r="EL11" s="359"/>
      <c r="EM11" s="359"/>
      <c r="EN11" s="359"/>
      <c r="EO11" s="359"/>
      <c r="EP11" s="359"/>
      <c r="EQ11" s="359"/>
      <c r="ER11" s="359"/>
      <c r="ES11" s="359"/>
      <c r="ET11" s="359"/>
      <c r="EU11" s="359"/>
      <c r="EV11" s="359"/>
      <c r="EW11" s="359"/>
      <c r="EX11" s="359"/>
      <c r="EY11" s="359"/>
      <c r="EZ11" s="359"/>
      <c r="FA11" s="359"/>
      <c r="FB11" s="359"/>
      <c r="FC11" s="359"/>
      <c r="FD11" s="359"/>
      <c r="FE11" s="359"/>
      <c r="FF11" s="359"/>
      <c r="FG11" s="359"/>
      <c r="FH11" s="359"/>
      <c r="FI11" s="359"/>
      <c r="FJ11" s="359"/>
      <c r="FK11" s="359"/>
      <c r="FL11" s="359"/>
      <c r="FM11" s="359"/>
      <c r="FN11" s="359"/>
      <c r="FO11" s="359"/>
      <c r="FP11" s="359"/>
      <c r="FQ11" s="359"/>
      <c r="FR11" s="359"/>
      <c r="FS11" s="359"/>
      <c r="FT11" s="359"/>
      <c r="FU11" s="359"/>
      <c r="FV11" s="359"/>
      <c r="FW11" s="359"/>
      <c r="FX11" s="359"/>
      <c r="FY11" s="359"/>
      <c r="FZ11" s="359"/>
      <c r="GA11" s="359"/>
      <c r="GB11" s="359"/>
    </row>
    <row r="12" spans="1:184" s="363" customFormat="1" ht="18.600000000000001" customHeight="1" thickBot="1" x14ac:dyDescent="0.25">
      <c r="A12" s="478"/>
      <c r="B12" s="427"/>
      <c r="C12" s="444"/>
      <c r="D12" s="1322"/>
      <c r="E12" s="366"/>
      <c r="F12" s="1453" t="str">
        <f>IF(Art=1,"Braunvieh","")</f>
        <v>Braunvieh</v>
      </c>
      <c r="G12" s="1454"/>
      <c r="H12" s="427"/>
      <c r="I12" s="479"/>
      <c r="J12" s="480"/>
      <c r="K12" s="481"/>
      <c r="L12" s="395"/>
      <c r="M12" s="1445" t="str">
        <f>IF(Art=1,"4,0 % Fett  3,4 %  Eiweiß   -&gt;  3,28MJ NEL/kg, 85 g nXP","")</f>
        <v>4,0 % Fett  3,4 %  Eiweiß   -&gt;  3,28MJ NEL/kg, 85 g nXP</v>
      </c>
      <c r="N12" s="1445"/>
      <c r="O12" s="1445"/>
      <c r="P12" s="1445"/>
      <c r="Q12" s="1445"/>
      <c r="R12" s="1445"/>
      <c r="S12" s="1445"/>
      <c r="T12" s="1445"/>
      <c r="U12" s="1445"/>
      <c r="V12" s="1445"/>
      <c r="W12" s="1446"/>
      <c r="X12" s="482"/>
      <c r="Y12" s="376">
        <f>ROUND(IF(OR(F_vH=0,E_vH=0),0,IF(M_kg="t",0,IF(Art=1,F_vH*0.38+E_vH*0.21+1.05,IF(Art=2,(F_vH*0.38+E_vH*0.21+0.95)/0.63,IF(Art=3,(F_vH*0.38+E_vH*0.21+0.95)/0.63,""))))),2)</f>
        <v>0</v>
      </c>
      <c r="Z12" s="377"/>
      <c r="AA12" s="378">
        <f>ROUND(IF(M_kg="t",0,IF(E_vH=0,0,IF(Art=1,(E_vH-3.4)*20+85,IF(Art=2,(E_vH-3.4)*20+85,IF(Art=3,(E_vH-3.4)*20+85,""))))),0)</f>
        <v>0</v>
      </c>
      <c r="AB12" s="458" t="s">
        <v>22</v>
      </c>
      <c r="AC12" s="483" t="s">
        <v>271</v>
      </c>
      <c r="AD12" s="484">
        <f>IF(TMR=1,2.274,3.878)</f>
        <v>3.8780000000000001</v>
      </c>
      <c r="AE12" s="483" t="s">
        <v>239</v>
      </c>
      <c r="AF12" s="484">
        <f>IF(TMR=1,LG*(0.0173-0.0000514*LaktTag+0.0000000999*LaktTag^2),LG*(0.0148-0.0000474*LaktTag+0.0000000904*LaktTag^2))</f>
        <v>0</v>
      </c>
      <c r="AG12" s="485"/>
      <c r="AH12" s="458"/>
      <c r="AI12" s="458"/>
      <c r="AJ12" s="429"/>
      <c r="AK12" s="429"/>
      <c r="AL12" s="429"/>
      <c r="AM12" s="458"/>
      <c r="AN12" s="486"/>
      <c r="AO12" s="316"/>
      <c r="AP12" s="359"/>
      <c r="AQ12" s="359"/>
      <c r="AR12" s="359"/>
      <c r="AS12" s="359"/>
      <c r="AT12" s="359"/>
      <c r="AU12" s="359"/>
      <c r="AV12" s="359"/>
      <c r="AW12" s="359"/>
      <c r="AX12" s="359"/>
      <c r="AY12" s="359"/>
      <c r="AZ12" s="359"/>
      <c r="BA12" s="359"/>
      <c r="BB12" s="359"/>
      <c r="BC12" s="359"/>
      <c r="BD12" s="359"/>
      <c r="BE12" s="359"/>
      <c r="BF12" s="359"/>
      <c r="BG12" s="359"/>
      <c r="BH12" s="359"/>
      <c r="BI12" s="359"/>
      <c r="BJ12" s="359"/>
      <c r="BK12" s="359"/>
      <c r="BL12" s="359"/>
      <c r="BM12" s="359"/>
      <c r="BN12" s="359"/>
      <c r="BO12" s="359"/>
      <c r="BP12" s="359"/>
      <c r="BQ12" s="359"/>
      <c r="BR12" s="359"/>
      <c r="BS12" s="359"/>
      <c r="BT12" s="359"/>
      <c r="BU12" s="359"/>
      <c r="BV12" s="359"/>
      <c r="BW12" s="359"/>
      <c r="BX12" s="359"/>
      <c r="BY12" s="359"/>
      <c r="BZ12" s="359"/>
      <c r="CA12" s="359"/>
      <c r="CB12" s="359"/>
      <c r="CC12" s="359"/>
      <c r="CD12" s="359"/>
      <c r="CE12" s="359"/>
      <c r="CF12" s="359"/>
      <c r="CG12" s="359"/>
      <c r="CH12" s="359"/>
      <c r="CI12" s="359"/>
      <c r="CJ12" s="359"/>
      <c r="CK12" s="359"/>
      <c r="CL12" s="359"/>
      <c r="CM12" s="359"/>
      <c r="CN12" s="359"/>
      <c r="CO12" s="359"/>
      <c r="CP12" s="359"/>
      <c r="CQ12" s="359"/>
      <c r="CR12" s="359"/>
      <c r="CS12" s="359"/>
      <c r="CT12" s="359"/>
      <c r="CU12" s="359"/>
      <c r="CV12" s="359"/>
      <c r="CW12" s="359"/>
      <c r="CX12" s="359"/>
      <c r="CY12" s="359"/>
      <c r="CZ12" s="359"/>
      <c r="DA12" s="359"/>
      <c r="DB12" s="359"/>
      <c r="DC12" s="359"/>
      <c r="DD12" s="359"/>
      <c r="DE12" s="359"/>
      <c r="DF12" s="359"/>
      <c r="DG12" s="359"/>
      <c r="DH12" s="359"/>
      <c r="DI12" s="359"/>
      <c r="DJ12" s="359"/>
      <c r="DK12" s="359"/>
      <c r="DL12" s="359"/>
      <c r="DM12" s="359"/>
      <c r="DN12" s="359"/>
      <c r="DO12" s="359"/>
      <c r="DP12" s="359"/>
      <c r="DQ12" s="359"/>
      <c r="DR12" s="359"/>
      <c r="DS12" s="359"/>
      <c r="DT12" s="359"/>
      <c r="DU12" s="359"/>
      <c r="DV12" s="359"/>
      <c r="DW12" s="359"/>
      <c r="DX12" s="359"/>
      <c r="DY12" s="359"/>
      <c r="DZ12" s="359"/>
      <c r="EA12" s="359"/>
      <c r="EB12" s="359"/>
      <c r="EC12" s="359"/>
      <c r="ED12" s="359"/>
      <c r="EE12" s="359"/>
      <c r="EF12" s="359"/>
      <c r="EG12" s="359"/>
      <c r="EH12" s="359"/>
      <c r="EI12" s="359"/>
      <c r="EJ12" s="359"/>
      <c r="EK12" s="359"/>
      <c r="EL12" s="359"/>
      <c r="EM12" s="359"/>
      <c r="EN12" s="359"/>
      <c r="EO12" s="359"/>
      <c r="EP12" s="359"/>
      <c r="EQ12" s="359"/>
      <c r="ER12" s="359"/>
      <c r="ES12" s="359"/>
      <c r="ET12" s="359"/>
      <c r="EU12" s="359"/>
      <c r="EV12" s="359"/>
      <c r="EW12" s="359"/>
      <c r="EX12" s="359"/>
      <c r="EY12" s="359"/>
      <c r="EZ12" s="359"/>
      <c r="FA12" s="359"/>
      <c r="FB12" s="359"/>
      <c r="FC12" s="359"/>
      <c r="FD12" s="359"/>
      <c r="FE12" s="359"/>
      <c r="FF12" s="359"/>
      <c r="FG12" s="359"/>
      <c r="FH12" s="359"/>
      <c r="FI12" s="359"/>
      <c r="FJ12" s="359"/>
      <c r="FK12" s="359"/>
      <c r="FL12" s="359"/>
      <c r="FM12" s="359"/>
      <c r="FN12" s="359"/>
      <c r="FO12" s="359"/>
      <c r="FP12" s="359"/>
      <c r="FQ12" s="359"/>
      <c r="FR12" s="359"/>
      <c r="FS12" s="359"/>
      <c r="FT12" s="359"/>
      <c r="FU12" s="359"/>
      <c r="FV12" s="359"/>
      <c r="FW12" s="359"/>
      <c r="FX12" s="359"/>
      <c r="FY12" s="359"/>
      <c r="FZ12" s="359"/>
      <c r="GA12" s="359"/>
      <c r="GB12" s="359"/>
    </row>
    <row r="13" spans="1:184" s="363" customFormat="1" ht="18.75" customHeight="1" x14ac:dyDescent="0.2">
      <c r="A13" s="426"/>
      <c r="B13" s="427"/>
      <c r="C13" s="487" t="s">
        <v>23</v>
      </c>
      <c r="D13" s="488"/>
      <c r="E13" s="488"/>
      <c r="F13" s="489"/>
      <c r="G13" s="428"/>
      <c r="H13" s="427"/>
      <c r="I13" s="479">
        <f ca="1">IF(I11&gt;36000,I11,TODAY()-I11)</f>
        <v>46008</v>
      </c>
      <c r="J13" s="429"/>
      <c r="K13" s="458"/>
      <c r="L13" s="481"/>
      <c r="M13" s="481"/>
      <c r="N13" s="490"/>
      <c r="O13" s="490"/>
      <c r="P13" s="490"/>
      <c r="Q13" s="490"/>
      <c r="R13" s="490"/>
      <c r="S13" s="490"/>
      <c r="T13" s="490"/>
      <c r="U13" s="490"/>
      <c r="V13" s="491"/>
      <c r="W13" s="491"/>
      <c r="X13" s="491"/>
      <c r="Y13" s="379">
        <f>ROUND(IF(Art=1,IF(M_kg="t",13,M_kg*Y12),IF(Art=2,IF(M_kg="t",7,M_kg*Y12),IF(Art=3,IF(M_kg="t",3.8,M_kg*Y12),""))),1)</f>
        <v>0</v>
      </c>
      <c r="Z13" s="380"/>
      <c r="AA13" s="381">
        <f>ROUND(IF(Art=1,IF(M_kg="t",675,M_kg*AA12),IF(Art=2,IF(M_kg="t",7,M_kg*AA12),IF(Art=3,IF(M_kg="t",3.8,M_kg*AA12),""))),0)</f>
        <v>0</v>
      </c>
      <c r="AB13" s="429" t="s">
        <v>551</v>
      </c>
      <c r="AC13" s="483" t="s">
        <v>272</v>
      </c>
      <c r="AD13" s="484">
        <f>IF(TMR=1,IF(Rasse=1,-1.449,IF(Rasse=2,-2.169,-1.391)),IF(Rasse=1,-2.194,IF(Rasse=2,-2.631,-1.826)))</f>
        <v>-2.6309999999999998</v>
      </c>
      <c r="AE13" s="483" t="s">
        <v>273</v>
      </c>
      <c r="AF13" s="484">
        <f>IF(M_kg="t",0,IF(TMR=1,(1.05+0.38*F_vH+0.21*E_vH)/3.28*M_kg*(0.201+0.000808*LaktTag-0.000001299*LaktTag^2),(1.05+0.38*F_vH+0.21*E_vH)/3.28*M_kg*(0.0825+0.0008098*LaktTag-0.00000096*LaktTag^2)))</f>
        <v>0</v>
      </c>
      <c r="AG13" s="485"/>
      <c r="AH13" s="429"/>
      <c r="AI13" s="429"/>
      <c r="AJ13" s="429"/>
      <c r="AK13" s="429"/>
      <c r="AL13" s="429"/>
      <c r="AM13" s="429"/>
      <c r="AN13" s="430"/>
      <c r="AO13" s="316"/>
      <c r="AP13" s="359"/>
      <c r="AQ13" s="359"/>
      <c r="AR13" s="359"/>
      <c r="AS13" s="359"/>
      <c r="AT13" s="359"/>
      <c r="AU13" s="359"/>
      <c r="AV13" s="359"/>
      <c r="AW13" s="359"/>
      <c r="AX13" s="359"/>
      <c r="AY13" s="359"/>
      <c r="AZ13" s="359"/>
      <c r="BA13" s="359"/>
      <c r="BB13" s="359"/>
      <c r="BC13" s="359"/>
      <c r="BD13" s="359"/>
      <c r="BE13" s="359"/>
      <c r="BF13" s="359"/>
      <c r="BG13" s="359"/>
      <c r="BH13" s="359"/>
      <c r="BI13" s="359"/>
      <c r="BJ13" s="359"/>
      <c r="BK13" s="359"/>
      <c r="BL13" s="359"/>
      <c r="BM13" s="359"/>
      <c r="BN13" s="359"/>
      <c r="BO13" s="359"/>
      <c r="BP13" s="359"/>
      <c r="BQ13" s="359"/>
      <c r="BR13" s="359"/>
      <c r="BS13" s="359"/>
      <c r="BT13" s="359"/>
      <c r="BU13" s="359"/>
      <c r="BV13" s="359"/>
      <c r="BW13" s="359"/>
      <c r="BX13" s="359"/>
      <c r="BY13" s="359"/>
      <c r="BZ13" s="359"/>
      <c r="CA13" s="359"/>
      <c r="CB13" s="359"/>
      <c r="CC13" s="359"/>
      <c r="CD13" s="359"/>
      <c r="CE13" s="359"/>
      <c r="CF13" s="359"/>
      <c r="CG13" s="359"/>
      <c r="CH13" s="359"/>
      <c r="CI13" s="359"/>
      <c r="CJ13" s="359"/>
      <c r="CK13" s="359"/>
      <c r="CL13" s="359"/>
      <c r="CM13" s="359"/>
      <c r="CN13" s="359"/>
      <c r="CO13" s="359"/>
      <c r="CP13" s="359"/>
      <c r="CQ13" s="359"/>
      <c r="CR13" s="359"/>
      <c r="CS13" s="359"/>
      <c r="CT13" s="359"/>
      <c r="CU13" s="359"/>
      <c r="CV13" s="359"/>
      <c r="CW13" s="359"/>
      <c r="CX13" s="359"/>
      <c r="CY13" s="359"/>
      <c r="CZ13" s="359"/>
      <c r="DA13" s="359"/>
      <c r="DB13" s="359"/>
      <c r="DC13" s="359"/>
      <c r="DD13" s="359"/>
      <c r="DE13" s="359"/>
      <c r="DF13" s="359"/>
      <c r="DG13" s="359"/>
      <c r="DH13" s="359"/>
      <c r="DI13" s="359"/>
      <c r="DJ13" s="359"/>
      <c r="DK13" s="359"/>
      <c r="DL13" s="359"/>
      <c r="DM13" s="359"/>
      <c r="DN13" s="359"/>
      <c r="DO13" s="359"/>
      <c r="DP13" s="359"/>
      <c r="DQ13" s="359"/>
      <c r="DR13" s="359"/>
      <c r="DS13" s="359"/>
      <c r="DT13" s="359"/>
      <c r="DU13" s="359"/>
      <c r="DV13" s="359"/>
      <c r="DW13" s="359"/>
      <c r="DX13" s="359"/>
      <c r="DY13" s="359"/>
      <c r="DZ13" s="359"/>
      <c r="EA13" s="359"/>
      <c r="EB13" s="359"/>
      <c r="EC13" s="359"/>
      <c r="ED13" s="359"/>
      <c r="EE13" s="359"/>
      <c r="EF13" s="359"/>
      <c r="EG13" s="359"/>
      <c r="EH13" s="359"/>
      <c r="EI13" s="359"/>
      <c r="EJ13" s="359"/>
      <c r="EK13" s="359"/>
      <c r="EL13" s="359"/>
      <c r="EM13" s="359"/>
      <c r="EN13" s="359"/>
      <c r="EO13" s="359"/>
      <c r="EP13" s="359"/>
      <c r="EQ13" s="359"/>
      <c r="ER13" s="359"/>
      <c r="ES13" s="359"/>
      <c r="ET13" s="359"/>
      <c r="EU13" s="359"/>
      <c r="EV13" s="359"/>
      <c r="EW13" s="359"/>
      <c r="EX13" s="359"/>
      <c r="EY13" s="359"/>
      <c r="EZ13" s="359"/>
      <c r="FA13" s="359"/>
      <c r="FB13" s="359"/>
      <c r="FC13" s="359"/>
      <c r="FD13" s="359"/>
      <c r="FE13" s="359"/>
      <c r="FF13" s="359"/>
      <c r="FG13" s="359"/>
      <c r="FH13" s="359"/>
      <c r="FI13" s="359"/>
      <c r="FJ13" s="359"/>
      <c r="FK13" s="359"/>
      <c r="FL13" s="359"/>
      <c r="FM13" s="359"/>
      <c r="FN13" s="359"/>
      <c r="FO13" s="359"/>
      <c r="FP13" s="359"/>
      <c r="FQ13" s="359"/>
      <c r="FR13" s="359"/>
      <c r="FS13" s="359"/>
      <c r="FT13" s="359"/>
      <c r="FU13" s="359"/>
      <c r="FV13" s="359"/>
      <c r="FW13" s="359"/>
      <c r="FX13" s="359"/>
      <c r="FY13" s="359"/>
      <c r="FZ13" s="359"/>
      <c r="GA13" s="359"/>
      <c r="GB13" s="359"/>
    </row>
    <row r="14" spans="1:184" s="363" customFormat="1" ht="18.75" customHeight="1" thickBot="1" x14ac:dyDescent="0.25">
      <c r="A14" s="426"/>
      <c r="B14" s="427"/>
      <c r="C14" s="492" t="s">
        <v>24</v>
      </c>
      <c r="D14" s="493"/>
      <c r="E14" s="493"/>
      <c r="F14" s="489"/>
      <c r="G14" s="428"/>
      <c r="H14" s="489"/>
      <c r="I14" s="429"/>
      <c r="J14" s="429"/>
      <c r="K14" s="1447" t="str">
        <f>IF(Art=1,"700 kg LG, BCS 3,5 -&gt; 39,9 MJ NEL, 470 g nXP","")</f>
        <v>700 kg LG, BCS 3,5 -&gt; 39,9 MJ NEL, 470 g nXP</v>
      </c>
      <c r="L14" s="1447"/>
      <c r="M14" s="1447"/>
      <c r="N14" s="1447"/>
      <c r="O14" s="1447"/>
      <c r="P14" s="1447"/>
      <c r="Q14" s="1447"/>
      <c r="R14" s="1447"/>
      <c r="S14" s="1447"/>
      <c r="T14" s="1447"/>
      <c r="U14" s="1447"/>
      <c r="V14" s="1447"/>
      <c r="W14" s="1448"/>
      <c r="X14" s="494"/>
      <c r="Y14" s="382">
        <f>ROUND(IF(LG=0,0,IF(Art=1,LG^0.75*0.293,IF(Art=2,LG^0.75*0.43,IF(Art=3,LG^0.75*0.43,"")))),1)</f>
        <v>0</v>
      </c>
      <c r="Z14" s="383"/>
      <c r="AA14" s="384">
        <f>ROUND(IF(LG=0,0,IF(Art=1,190+LG*0.4,IF(Art=2,LG^0.75*3+15,IF(Art=3,LG^0.75*3.25,"")))),0)</f>
        <v>0</v>
      </c>
      <c r="AB14" s="429" t="s">
        <v>550</v>
      </c>
      <c r="AC14" s="483" t="s">
        <v>62</v>
      </c>
      <c r="AD14" s="484">
        <f>IF(TMR=1,IF(LakNr=1,-0.658,0.236),IF(LakNr=1,-0.728,0.218))</f>
        <v>0.218</v>
      </c>
      <c r="AE14" s="483" t="s">
        <v>274</v>
      </c>
      <c r="AF14" s="484">
        <f>IF(TMR=1,SUM(W28:W32,W37:W38)/TS*100*(0.0631-0.0002096*LaktTag+0.0000001213*LaktTag^2),SUM(W28:W32,W37:W38)*(0.6962-0.0023289*LaktTag+0.0000040634*LaktTag^2))</f>
        <v>0</v>
      </c>
      <c r="AG14" s="485"/>
      <c r="AH14" s="429"/>
      <c r="AI14" s="429"/>
      <c r="AJ14" s="429"/>
      <c r="AK14" s="429"/>
      <c r="AL14" s="429"/>
      <c r="AM14" s="429"/>
      <c r="AN14" s="430"/>
      <c r="AO14" s="316"/>
      <c r="AP14" s="359"/>
      <c r="AQ14" s="359"/>
      <c r="AR14" s="359"/>
      <c r="AS14" s="359"/>
      <c r="AT14" s="359"/>
      <c r="AU14" s="359"/>
      <c r="AV14" s="359"/>
      <c r="AW14" s="359"/>
      <c r="AX14" s="359"/>
      <c r="AY14" s="359"/>
      <c r="AZ14" s="359"/>
      <c r="BA14" s="359"/>
      <c r="BB14" s="359"/>
      <c r="BC14" s="359"/>
      <c r="BD14" s="359"/>
      <c r="BE14" s="359"/>
      <c r="BF14" s="359"/>
      <c r="BG14" s="359"/>
      <c r="BH14" s="359"/>
      <c r="BI14" s="359"/>
      <c r="BJ14" s="359"/>
      <c r="BK14" s="359"/>
      <c r="BL14" s="359"/>
      <c r="BM14" s="359"/>
      <c r="BN14" s="359"/>
      <c r="BO14" s="359"/>
      <c r="BP14" s="359"/>
      <c r="BQ14" s="359"/>
      <c r="BR14" s="359"/>
      <c r="BS14" s="359"/>
      <c r="BT14" s="359"/>
      <c r="BU14" s="359"/>
      <c r="BV14" s="359"/>
      <c r="BW14" s="359"/>
      <c r="BX14" s="359"/>
      <c r="BY14" s="359"/>
      <c r="BZ14" s="359"/>
      <c r="CA14" s="359"/>
      <c r="CB14" s="359"/>
      <c r="CC14" s="359"/>
      <c r="CD14" s="359"/>
      <c r="CE14" s="359"/>
      <c r="CF14" s="359"/>
      <c r="CG14" s="359"/>
      <c r="CH14" s="359"/>
      <c r="CI14" s="359"/>
      <c r="CJ14" s="359"/>
      <c r="CK14" s="359"/>
      <c r="CL14" s="359"/>
      <c r="CM14" s="359"/>
      <c r="CN14" s="359"/>
      <c r="CO14" s="359"/>
      <c r="CP14" s="359"/>
      <c r="CQ14" s="359"/>
      <c r="CR14" s="359"/>
      <c r="CS14" s="359"/>
      <c r="CT14" s="359"/>
      <c r="CU14" s="359"/>
      <c r="CV14" s="359"/>
      <c r="CW14" s="359"/>
      <c r="CX14" s="359"/>
      <c r="CY14" s="359"/>
      <c r="CZ14" s="359"/>
      <c r="DA14" s="359"/>
      <c r="DB14" s="359"/>
      <c r="DC14" s="359"/>
      <c r="DD14" s="359"/>
      <c r="DE14" s="359"/>
      <c r="DF14" s="359"/>
      <c r="DG14" s="359"/>
      <c r="DH14" s="359"/>
      <c r="DI14" s="359"/>
      <c r="DJ14" s="359"/>
      <c r="DK14" s="359"/>
      <c r="DL14" s="359"/>
      <c r="DM14" s="359"/>
      <c r="DN14" s="359"/>
      <c r="DO14" s="359"/>
      <c r="DP14" s="359"/>
      <c r="DQ14" s="359"/>
      <c r="DR14" s="359"/>
      <c r="DS14" s="359"/>
      <c r="DT14" s="359"/>
      <c r="DU14" s="359"/>
      <c r="DV14" s="359"/>
      <c r="DW14" s="359"/>
      <c r="DX14" s="359"/>
      <c r="DY14" s="359"/>
      <c r="DZ14" s="359"/>
      <c r="EA14" s="359"/>
      <c r="EB14" s="359"/>
      <c r="EC14" s="359"/>
      <c r="ED14" s="359"/>
      <c r="EE14" s="359"/>
      <c r="EF14" s="359"/>
      <c r="EG14" s="359"/>
      <c r="EH14" s="359"/>
      <c r="EI14" s="359"/>
      <c r="EJ14" s="359"/>
      <c r="EK14" s="359"/>
      <c r="EL14" s="359"/>
      <c r="EM14" s="359"/>
      <c r="EN14" s="359"/>
      <c r="EO14" s="359"/>
      <c r="EP14" s="359"/>
      <c r="EQ14" s="359"/>
      <c r="ER14" s="359"/>
      <c r="ES14" s="359"/>
      <c r="ET14" s="359"/>
      <c r="EU14" s="359"/>
      <c r="EV14" s="359"/>
      <c r="EW14" s="359"/>
      <c r="EX14" s="359"/>
      <c r="EY14" s="359"/>
      <c r="EZ14" s="359"/>
      <c r="FA14" s="359"/>
      <c r="FB14" s="359"/>
      <c r="FC14" s="359"/>
      <c r="FD14" s="359"/>
      <c r="FE14" s="359"/>
      <c r="FF14" s="359"/>
      <c r="FG14" s="359"/>
      <c r="FH14" s="359"/>
      <c r="FI14" s="359"/>
      <c r="FJ14" s="359"/>
      <c r="FK14" s="359"/>
      <c r="FL14" s="359"/>
      <c r="FM14" s="359"/>
      <c r="FN14" s="359"/>
      <c r="FO14" s="359"/>
      <c r="FP14" s="359"/>
      <c r="FQ14" s="359"/>
      <c r="FR14" s="359"/>
      <c r="FS14" s="359"/>
      <c r="FT14" s="359"/>
      <c r="FU14" s="359"/>
      <c r="FV14" s="359"/>
      <c r="FW14" s="359"/>
      <c r="FX14" s="359"/>
      <c r="FY14" s="359"/>
      <c r="FZ14" s="359"/>
      <c r="GA14" s="359"/>
      <c r="GB14" s="359"/>
    </row>
    <row r="15" spans="1:184" s="363" customFormat="1" ht="18.75" customHeight="1" thickBot="1" x14ac:dyDescent="0.25">
      <c r="A15" s="495"/>
      <c r="B15" s="427"/>
      <c r="C15" s="496"/>
      <c r="D15" s="489"/>
      <c r="E15" s="489"/>
      <c r="F15" s="489"/>
      <c r="G15" s="428"/>
      <c r="H15" s="489"/>
      <c r="I15" s="429"/>
      <c r="J15" s="429"/>
      <c r="K15" s="429"/>
      <c r="L15" s="429"/>
      <c r="M15" s="429"/>
      <c r="N15" s="491"/>
      <c r="O15" s="491"/>
      <c r="P15" s="491"/>
      <c r="Q15" s="491"/>
      <c r="R15" s="491"/>
      <c r="S15" s="491"/>
      <c r="T15" s="491"/>
      <c r="U15" s="491"/>
      <c r="V15" s="491"/>
      <c r="W15" s="497" t="str">
        <f>IF(OR(LakNr="",LaktTag="",LG="",M_kg=""),"Daten?",IF(Art=1,IF(M_kg="t",4*NEL_kg-11,AD12+AD13+AD14+AD15+AF12+AF13+AF14+AF15),IF(Art=2,0.9+(LG*0.01)+(IF(M_kg="t",0,M_kg-1)*0.4),IF(Art=3,0.9+(LG*0.01)+(IF(M_kg="t",0,M_kg-1)*0.4),""))))</f>
        <v>Daten?</v>
      </c>
      <c r="X15" s="498"/>
      <c r="Y15" s="385">
        <f>EM+Y14</f>
        <v>0</v>
      </c>
      <c r="Z15" s="386"/>
      <c r="AA15" s="387">
        <f>AA13+AA14</f>
        <v>0</v>
      </c>
      <c r="AB15" s="429" t="s">
        <v>552</v>
      </c>
      <c r="AC15" s="483" t="s">
        <v>545</v>
      </c>
      <c r="AD15" s="484">
        <f>IF(TMR=1,-5.445+5.298*(1-EXP(-0.01838*LaktTag)),-4.287+4.153*(1-EXP(-0.01486*LaktTag)))</f>
        <v>-4.2869999999999999</v>
      </c>
      <c r="AE15" s="483" t="s">
        <v>546</v>
      </c>
      <c r="AF15" s="484" t="e">
        <f>IF(TMR=1,0.609*SUM(Z20:Z38)/SUM(X20:X38),0.858*SUM(Z20:Z38)/SUM(X20:X38))</f>
        <v>#DIV/0!</v>
      </c>
      <c r="AG15" s="485"/>
      <c r="AH15" s="429"/>
      <c r="AI15" s="429"/>
      <c r="AJ15" s="429"/>
      <c r="AK15" s="429"/>
      <c r="AL15" s="429"/>
      <c r="AM15" s="429"/>
      <c r="AN15" s="499"/>
      <c r="AO15" s="316"/>
      <c r="AP15" s="359"/>
      <c r="AQ15" s="359"/>
      <c r="AR15" s="359"/>
      <c r="AS15" s="359"/>
      <c r="AT15" s="359"/>
      <c r="AU15" s="359"/>
      <c r="AV15" s="359"/>
      <c r="AW15" s="359"/>
      <c r="AX15" s="359"/>
      <c r="AY15" s="359"/>
      <c r="AZ15" s="359"/>
      <c r="BA15" s="359"/>
      <c r="BB15" s="359"/>
      <c r="BC15" s="359"/>
      <c r="BD15" s="359"/>
      <c r="BE15" s="359"/>
      <c r="BF15" s="359"/>
      <c r="BG15" s="359"/>
      <c r="BH15" s="359"/>
      <c r="BI15" s="359"/>
      <c r="BJ15" s="359"/>
      <c r="BK15" s="359"/>
      <c r="BL15" s="359"/>
      <c r="BM15" s="359"/>
      <c r="BN15" s="359"/>
      <c r="BO15" s="359"/>
      <c r="BP15" s="359"/>
      <c r="BQ15" s="359"/>
      <c r="BR15" s="359"/>
      <c r="BS15" s="359"/>
      <c r="BT15" s="359"/>
      <c r="BU15" s="359"/>
      <c r="BV15" s="359"/>
      <c r="BW15" s="359"/>
      <c r="BX15" s="359"/>
      <c r="BY15" s="359"/>
      <c r="BZ15" s="359"/>
      <c r="CA15" s="359"/>
      <c r="CB15" s="359"/>
      <c r="CC15" s="359"/>
      <c r="CD15" s="359"/>
      <c r="CE15" s="359"/>
      <c r="CF15" s="359"/>
      <c r="CG15" s="359"/>
      <c r="CH15" s="359"/>
      <c r="CI15" s="359"/>
      <c r="CJ15" s="359"/>
      <c r="CK15" s="359"/>
      <c r="CL15" s="359"/>
      <c r="CM15" s="359"/>
      <c r="CN15" s="359"/>
      <c r="CO15" s="359"/>
      <c r="CP15" s="359"/>
      <c r="CQ15" s="359"/>
      <c r="CR15" s="359"/>
      <c r="CS15" s="359"/>
      <c r="CT15" s="359"/>
      <c r="CU15" s="359"/>
      <c r="CV15" s="359"/>
      <c r="CW15" s="359"/>
      <c r="CX15" s="359"/>
      <c r="CY15" s="359"/>
      <c r="CZ15" s="359"/>
      <c r="DA15" s="359"/>
      <c r="DB15" s="359"/>
      <c r="DC15" s="359"/>
      <c r="DD15" s="359"/>
      <c r="DE15" s="359"/>
      <c r="DF15" s="359"/>
      <c r="DG15" s="359"/>
      <c r="DH15" s="359"/>
      <c r="DI15" s="359"/>
      <c r="DJ15" s="359"/>
      <c r="DK15" s="359"/>
      <c r="DL15" s="359"/>
      <c r="DM15" s="359"/>
      <c r="DN15" s="359"/>
      <c r="DO15" s="359"/>
      <c r="DP15" s="359"/>
      <c r="DQ15" s="359"/>
      <c r="DR15" s="359"/>
      <c r="DS15" s="359"/>
      <c r="DT15" s="359"/>
      <c r="DU15" s="359"/>
      <c r="DV15" s="359"/>
      <c r="DW15" s="359"/>
      <c r="DX15" s="359"/>
      <c r="DY15" s="359"/>
      <c r="DZ15" s="359"/>
      <c r="EA15" s="359"/>
      <c r="EB15" s="359"/>
      <c r="EC15" s="359"/>
      <c r="ED15" s="359"/>
      <c r="EE15" s="359"/>
      <c r="EF15" s="359"/>
      <c r="EG15" s="359"/>
      <c r="EH15" s="359"/>
      <c r="EI15" s="359"/>
      <c r="EJ15" s="359"/>
      <c r="EK15" s="359"/>
      <c r="EL15" s="359"/>
      <c r="EM15" s="359"/>
      <c r="EN15" s="359"/>
      <c r="EO15" s="359"/>
      <c r="EP15" s="359"/>
      <c r="EQ15" s="359"/>
      <c r="ER15" s="359"/>
      <c r="ES15" s="359"/>
      <c r="ET15" s="359"/>
      <c r="EU15" s="359"/>
      <c r="EV15" s="359"/>
      <c r="EW15" s="359"/>
      <c r="EX15" s="359"/>
      <c r="EY15" s="359"/>
      <c r="EZ15" s="359"/>
      <c r="FA15" s="359"/>
      <c r="FB15" s="359"/>
      <c r="FC15" s="359"/>
      <c r="FD15" s="359"/>
      <c r="FE15" s="359"/>
      <c r="FF15" s="359"/>
      <c r="FG15" s="359"/>
      <c r="FH15" s="359"/>
      <c r="FI15" s="359"/>
      <c r="FJ15" s="359"/>
      <c r="FK15" s="359"/>
      <c r="FL15" s="359"/>
      <c r="FM15" s="359"/>
      <c r="FN15" s="359"/>
      <c r="FO15" s="359"/>
      <c r="FP15" s="359"/>
      <c r="FQ15" s="359"/>
      <c r="FR15" s="359"/>
      <c r="FS15" s="359"/>
      <c r="FT15" s="359"/>
      <c r="FU15" s="359"/>
      <c r="FV15" s="359"/>
      <c r="FW15" s="359"/>
      <c r="FX15" s="359"/>
      <c r="FY15" s="359"/>
      <c r="FZ15" s="359"/>
      <c r="GA15" s="359"/>
      <c r="GB15" s="359"/>
    </row>
    <row r="16" spans="1:184" s="362" customFormat="1" ht="4.5" customHeight="1" thickBot="1" x14ac:dyDescent="0.25">
      <c r="A16" s="426"/>
      <c r="B16" s="450"/>
      <c r="C16" s="450"/>
      <c r="D16" s="450"/>
      <c r="E16" s="450"/>
      <c r="F16" s="450"/>
      <c r="G16" s="396"/>
      <c r="H16" s="450"/>
      <c r="I16" s="429"/>
      <c r="J16" s="450"/>
      <c r="K16" s="450"/>
      <c r="L16" s="429"/>
      <c r="M16" s="429"/>
      <c r="N16" s="429"/>
      <c r="O16" s="450"/>
      <c r="P16" s="450"/>
      <c r="Q16" s="450"/>
      <c r="R16" s="450"/>
      <c r="S16" s="450"/>
      <c r="T16" s="450"/>
      <c r="U16" s="429"/>
      <c r="V16" s="429"/>
      <c r="W16" s="429"/>
      <c r="X16" s="429"/>
      <c r="Y16" s="429"/>
      <c r="Z16" s="429"/>
      <c r="AA16" s="500"/>
      <c r="AB16" s="501"/>
      <c r="AC16" s="501"/>
      <c r="AD16" s="501"/>
      <c r="AE16" s="429"/>
      <c r="AF16" s="501"/>
      <c r="AG16" s="501"/>
      <c r="AH16" s="501"/>
      <c r="AI16" s="501"/>
      <c r="AJ16" s="501"/>
      <c r="AK16" s="501"/>
      <c r="AL16" s="429"/>
      <c r="AM16" s="429"/>
      <c r="AN16" s="430"/>
      <c r="AP16" s="359"/>
      <c r="AQ16" s="359"/>
      <c r="AR16" s="359"/>
      <c r="AS16" s="359"/>
      <c r="AT16" s="359"/>
      <c r="AU16" s="359"/>
      <c r="AV16" s="359"/>
      <c r="AW16" s="359"/>
      <c r="AX16" s="359"/>
      <c r="AY16" s="359"/>
      <c r="AZ16" s="359"/>
      <c r="BA16" s="359"/>
      <c r="BB16" s="359"/>
      <c r="BC16" s="359"/>
      <c r="BD16" s="359"/>
      <c r="BE16" s="359"/>
      <c r="BF16" s="359"/>
      <c r="BG16" s="359"/>
      <c r="BH16" s="359"/>
      <c r="BI16" s="359"/>
      <c r="BJ16" s="359"/>
      <c r="BK16" s="359"/>
      <c r="BL16" s="359"/>
      <c r="BM16" s="359"/>
      <c r="BN16" s="359"/>
      <c r="BO16" s="359"/>
      <c r="BP16" s="359"/>
      <c r="BQ16" s="359"/>
      <c r="BR16" s="359"/>
      <c r="BS16" s="359"/>
      <c r="BT16" s="359"/>
      <c r="BU16" s="359"/>
      <c r="BV16" s="359"/>
      <c r="BW16" s="359"/>
      <c r="BX16" s="359"/>
      <c r="BY16" s="359"/>
      <c r="BZ16" s="359"/>
      <c r="CA16" s="359"/>
      <c r="CB16" s="359"/>
      <c r="CC16" s="359"/>
      <c r="CD16" s="359"/>
      <c r="CE16" s="359"/>
      <c r="CF16" s="359"/>
      <c r="CG16" s="359"/>
      <c r="CH16" s="359"/>
      <c r="CI16" s="359"/>
      <c r="CJ16" s="359"/>
      <c r="CK16" s="359"/>
      <c r="CL16" s="359"/>
      <c r="CM16" s="359"/>
      <c r="CN16" s="359"/>
      <c r="CO16" s="359"/>
      <c r="CP16" s="359"/>
      <c r="CQ16" s="359"/>
      <c r="CR16" s="359"/>
      <c r="CS16" s="359"/>
      <c r="CT16" s="359"/>
      <c r="CU16" s="359"/>
      <c r="CV16" s="359"/>
      <c r="CW16" s="359"/>
      <c r="CX16" s="359"/>
      <c r="CY16" s="359"/>
      <c r="CZ16" s="359"/>
      <c r="DA16" s="359"/>
      <c r="DB16" s="359"/>
      <c r="DC16" s="359"/>
      <c r="DD16" s="359"/>
      <c r="DE16" s="359"/>
      <c r="DF16" s="359"/>
      <c r="DG16" s="359"/>
      <c r="DH16" s="359"/>
      <c r="DI16" s="359"/>
      <c r="DJ16" s="359"/>
      <c r="DK16" s="359"/>
      <c r="DL16" s="359"/>
      <c r="DM16" s="359"/>
      <c r="DN16" s="359"/>
      <c r="DO16" s="359"/>
      <c r="DP16" s="359"/>
      <c r="DQ16" s="359"/>
      <c r="DR16" s="359"/>
      <c r="DS16" s="359"/>
      <c r="DT16" s="359"/>
      <c r="DU16" s="359"/>
      <c r="DV16" s="359"/>
      <c r="DW16" s="359"/>
      <c r="DX16" s="359"/>
      <c r="DY16" s="359"/>
      <c r="DZ16" s="359"/>
      <c r="EA16" s="359"/>
      <c r="EB16" s="359"/>
      <c r="EC16" s="359"/>
      <c r="ED16" s="359"/>
      <c r="EE16" s="359"/>
      <c r="EF16" s="359"/>
      <c r="EG16" s="359"/>
      <c r="EH16" s="359"/>
      <c r="EI16" s="359"/>
      <c r="EJ16" s="359"/>
      <c r="EK16" s="359"/>
      <c r="EL16" s="359"/>
      <c r="EM16" s="359"/>
      <c r="EN16" s="359"/>
      <c r="EO16" s="359"/>
      <c r="EP16" s="359"/>
      <c r="EQ16" s="359"/>
      <c r="ER16" s="359"/>
      <c r="ES16" s="359"/>
      <c r="ET16" s="359"/>
      <c r="EU16" s="359"/>
      <c r="EV16" s="359"/>
      <c r="EW16" s="359"/>
      <c r="EX16" s="359"/>
      <c r="EY16" s="359"/>
      <c r="EZ16" s="359"/>
      <c r="FA16" s="359"/>
      <c r="FB16" s="359"/>
      <c r="FC16" s="359"/>
      <c r="FD16" s="359"/>
      <c r="FE16" s="359"/>
      <c r="FF16" s="359"/>
      <c r="FG16" s="359"/>
      <c r="FH16" s="359"/>
      <c r="FI16" s="359"/>
      <c r="FJ16" s="359"/>
      <c r="FK16" s="359"/>
      <c r="FL16" s="359"/>
      <c r="FM16" s="359"/>
      <c r="FN16" s="359"/>
      <c r="FO16" s="359"/>
      <c r="FP16" s="359"/>
      <c r="FQ16" s="359"/>
      <c r="FR16" s="359"/>
      <c r="FS16" s="359"/>
      <c r="FT16" s="359"/>
      <c r="FU16" s="359"/>
      <c r="FV16" s="359"/>
      <c r="FW16" s="359"/>
      <c r="FX16" s="359"/>
      <c r="FY16" s="359"/>
      <c r="FZ16" s="359"/>
      <c r="GA16" s="359"/>
      <c r="GB16" s="359"/>
    </row>
    <row r="17" spans="1:184" s="363" customFormat="1" ht="24" customHeight="1" thickBot="1" x14ac:dyDescent="0.25">
      <c r="A17" s="1340"/>
      <c r="B17" s="1341"/>
      <c r="C17" s="1342" t="s">
        <v>25</v>
      </c>
      <c r="D17" s="1343"/>
      <c r="E17" s="1343"/>
      <c r="F17" s="1343"/>
      <c r="G17" s="1344"/>
      <c r="H17" s="489"/>
      <c r="I17" s="502" t="s">
        <v>215</v>
      </c>
      <c r="J17" s="503"/>
      <c r="K17" s="503"/>
      <c r="L17" s="503"/>
      <c r="M17" s="503"/>
      <c r="N17" s="503"/>
      <c r="O17" s="503"/>
      <c r="P17" s="503"/>
      <c r="Q17" s="503"/>
      <c r="R17" s="503"/>
      <c r="S17" s="503"/>
      <c r="T17" s="503"/>
      <c r="U17" s="503"/>
      <c r="V17" s="1443"/>
      <c r="W17" s="1444"/>
      <c r="X17" s="1444"/>
      <c r="Y17" s="1444"/>
      <c r="Z17" s="1444"/>
      <c r="AA17" s="1444"/>
      <c r="AB17" s="1444"/>
      <c r="AC17" s="1444"/>
      <c r="AD17" s="1444"/>
      <c r="AE17" s="1444"/>
      <c r="AF17" s="1444"/>
      <c r="AG17" s="1444"/>
      <c r="AH17" s="1444"/>
      <c r="AI17" s="1444"/>
      <c r="AJ17" s="1444"/>
      <c r="AK17" s="1444"/>
      <c r="AL17" s="504" t="s">
        <v>378</v>
      </c>
      <c r="AM17" s="505" t="s">
        <v>321</v>
      </c>
      <c r="AN17" s="430"/>
      <c r="AO17" s="367"/>
      <c r="AP17" s="359"/>
      <c r="AQ17" s="359"/>
      <c r="AR17" s="359"/>
      <c r="AS17" s="359"/>
      <c r="AT17" s="359"/>
      <c r="AU17" s="359"/>
      <c r="AV17" s="359"/>
      <c r="AW17" s="359"/>
      <c r="AX17" s="359"/>
      <c r="AY17" s="359"/>
      <c r="AZ17" s="359"/>
      <c r="BA17" s="359"/>
      <c r="BB17" s="359"/>
      <c r="BC17" s="359"/>
      <c r="BD17" s="359"/>
      <c r="BE17" s="359"/>
      <c r="BF17" s="359"/>
      <c r="BG17" s="359"/>
      <c r="BH17" s="359"/>
      <c r="BI17" s="359"/>
      <c r="BJ17" s="359"/>
      <c r="BK17" s="359"/>
      <c r="BL17" s="359"/>
      <c r="BM17" s="359"/>
      <c r="BN17" s="359"/>
      <c r="BO17" s="359"/>
      <c r="BP17" s="359"/>
      <c r="BQ17" s="359"/>
      <c r="BR17" s="359"/>
      <c r="BS17" s="359"/>
      <c r="BT17" s="359"/>
      <c r="BU17" s="359"/>
      <c r="BV17" s="359"/>
      <c r="BW17" s="359"/>
      <c r="BX17" s="359"/>
      <c r="BY17" s="359"/>
      <c r="BZ17" s="359"/>
      <c r="CA17" s="359"/>
      <c r="CB17" s="359"/>
      <c r="CC17" s="359"/>
      <c r="CD17" s="359"/>
      <c r="CE17" s="359"/>
      <c r="CF17" s="359"/>
      <c r="CG17" s="359"/>
      <c r="CH17" s="359"/>
      <c r="CI17" s="359"/>
      <c r="CJ17" s="359"/>
      <c r="CK17" s="359"/>
      <c r="CL17" s="359"/>
      <c r="CM17" s="359"/>
      <c r="CN17" s="359"/>
      <c r="CO17" s="359"/>
      <c r="CP17" s="359"/>
      <c r="CQ17" s="359"/>
      <c r="CR17" s="359"/>
      <c r="CS17" s="359"/>
      <c r="CT17" s="359"/>
      <c r="CU17" s="359"/>
      <c r="CV17" s="359"/>
      <c r="CW17" s="359"/>
      <c r="CX17" s="359"/>
      <c r="CY17" s="359"/>
      <c r="CZ17" s="359"/>
      <c r="DA17" s="359"/>
      <c r="DB17" s="359"/>
      <c r="DC17" s="359"/>
      <c r="DD17" s="359"/>
      <c r="DE17" s="359"/>
      <c r="DF17" s="359"/>
      <c r="DG17" s="359"/>
      <c r="DH17" s="359"/>
      <c r="DI17" s="359"/>
      <c r="DJ17" s="359"/>
      <c r="DK17" s="359"/>
      <c r="DL17" s="359"/>
      <c r="DM17" s="359"/>
      <c r="DN17" s="359"/>
      <c r="DO17" s="359"/>
      <c r="DP17" s="359"/>
      <c r="DQ17" s="359"/>
      <c r="DR17" s="359"/>
      <c r="DS17" s="359"/>
      <c r="DT17" s="359"/>
      <c r="DU17" s="359"/>
      <c r="DV17" s="359"/>
      <c r="DW17" s="359"/>
      <c r="DX17" s="359"/>
      <c r="DY17" s="359"/>
      <c r="DZ17" s="359"/>
      <c r="EA17" s="359"/>
      <c r="EB17" s="359"/>
      <c r="EC17" s="359"/>
      <c r="ED17" s="359"/>
      <c r="EE17" s="359"/>
      <c r="EF17" s="359"/>
      <c r="EG17" s="359"/>
      <c r="EH17" s="359"/>
      <c r="EI17" s="359"/>
      <c r="EJ17" s="359"/>
      <c r="EK17" s="359"/>
      <c r="EL17" s="359"/>
      <c r="EM17" s="359"/>
      <c r="EN17" s="359"/>
      <c r="EO17" s="359"/>
      <c r="EP17" s="359"/>
      <c r="EQ17" s="359"/>
      <c r="ER17" s="359"/>
      <c r="ES17" s="359"/>
      <c r="ET17" s="359"/>
      <c r="EU17" s="359"/>
      <c r="EV17" s="359"/>
      <c r="EW17" s="359"/>
      <c r="EX17" s="359"/>
      <c r="EY17" s="359"/>
      <c r="EZ17" s="359"/>
      <c r="FA17" s="359"/>
      <c r="FB17" s="359"/>
      <c r="FC17" s="359"/>
      <c r="FD17" s="359"/>
      <c r="FE17" s="359"/>
      <c r="FF17" s="359"/>
      <c r="FG17" s="359"/>
      <c r="FH17" s="359"/>
      <c r="FI17" s="359"/>
      <c r="FJ17" s="359"/>
      <c r="FK17" s="359"/>
      <c r="FL17" s="359"/>
      <c r="FM17" s="359"/>
      <c r="FN17" s="359"/>
      <c r="FO17" s="359"/>
      <c r="FP17" s="359"/>
      <c r="FQ17" s="359"/>
      <c r="FR17" s="359"/>
      <c r="FS17" s="359"/>
      <c r="FT17" s="359"/>
      <c r="FU17" s="359"/>
      <c r="FV17" s="359"/>
      <c r="FW17" s="359"/>
      <c r="FX17" s="359"/>
      <c r="FY17" s="359"/>
      <c r="FZ17" s="359"/>
      <c r="GA17" s="359"/>
      <c r="GB17" s="359"/>
    </row>
    <row r="18" spans="1:184" s="363" customFormat="1" ht="18.75" customHeight="1" thickBot="1" x14ac:dyDescent="0.25">
      <c r="A18" s="1345"/>
      <c r="B18" s="506" t="str">
        <f>IF(TM_FM=1,"TM",IF(TM_FM=2,"FM",""))</f>
        <v>TM</v>
      </c>
      <c r="C18" s="507"/>
      <c r="D18" s="428"/>
      <c r="E18" s="428"/>
      <c r="F18" s="428"/>
      <c r="G18" s="428"/>
      <c r="H18" s="508" t="s">
        <v>145</v>
      </c>
      <c r="I18" s="508" t="str">
        <f>IF($C$3=1,"NEL","ME")</f>
        <v>NEL</v>
      </c>
      <c r="J18" s="509" t="str">
        <f>IF($C$3=1,"nXP","XP")</f>
        <v>nXP</v>
      </c>
      <c r="K18" s="509" t="str">
        <f>IF($C$3=1,"RNB","")</f>
        <v>RNB</v>
      </c>
      <c r="L18" s="510" t="str">
        <f>INDEX(Tabelle_Kopf,4,14)</f>
        <v>XS</v>
      </c>
      <c r="M18" s="510" t="str">
        <f>INDEX(Tabelle_Kopf,4,17)</f>
        <v>XS+XZ-bXS</v>
      </c>
      <c r="N18" s="510" t="str">
        <f>INDEX(Tabelle_Kopf,4,12)</f>
        <v>aNDFom</v>
      </c>
      <c r="O18" s="510" t="str">
        <f>AF18</f>
        <v>aNDFomGF</v>
      </c>
      <c r="P18" s="510" t="str">
        <f>INDEX(Tabelle_Kopf,4,13)</f>
        <v>NFC</v>
      </c>
      <c r="Q18" s="510" t="str">
        <f>INDEX(Tabelle_Kopf,4,15)</f>
        <v>bXS</v>
      </c>
      <c r="R18" s="510" t="str">
        <f>INDEX(Tabelle_Kopf,4,16)</f>
        <v>XZ</v>
      </c>
      <c r="S18" s="510" t="str">
        <f>INDEX(Tabelle_Kopf,4,18)</f>
        <v>XL</v>
      </c>
      <c r="T18" s="510" t="str">
        <f>INDEX(Tabelle_Kopf,4,6)</f>
        <v>XP</v>
      </c>
      <c r="U18" s="510" t="s">
        <v>378</v>
      </c>
      <c r="V18" s="508" t="s">
        <v>149</v>
      </c>
      <c r="W18" s="511" t="s">
        <v>150</v>
      </c>
      <c r="X18" s="512" t="s">
        <v>547</v>
      </c>
      <c r="Y18" s="513" t="str">
        <f>I18</f>
        <v>NEL</v>
      </c>
      <c r="Z18" s="513" t="s">
        <v>546</v>
      </c>
      <c r="AA18" s="513" t="str">
        <f>J18</f>
        <v>nXP</v>
      </c>
      <c r="AB18" s="513" t="str">
        <f>K18</f>
        <v>RNB</v>
      </c>
      <c r="AC18" s="513" t="str">
        <f>L18</f>
        <v>XS</v>
      </c>
      <c r="AD18" s="513" t="str">
        <f>M18</f>
        <v>XS+XZ-bXS</v>
      </c>
      <c r="AE18" s="513" t="str">
        <f>N18</f>
        <v>aNDFom</v>
      </c>
      <c r="AF18" s="467" t="s">
        <v>531</v>
      </c>
      <c r="AG18" s="513" t="str">
        <f t="shared" ref="AG18:AL18" si="1">P18</f>
        <v>NFC</v>
      </c>
      <c r="AH18" s="513" t="str">
        <f t="shared" si="1"/>
        <v>bXS</v>
      </c>
      <c r="AI18" s="513" t="str">
        <f t="shared" si="1"/>
        <v>XZ</v>
      </c>
      <c r="AJ18" s="513" t="str">
        <f t="shared" si="1"/>
        <v>XL</v>
      </c>
      <c r="AK18" s="513" t="str">
        <f t="shared" si="1"/>
        <v>XP</v>
      </c>
      <c r="AL18" s="513" t="str">
        <f t="shared" si="1"/>
        <v>Kosten</v>
      </c>
      <c r="AM18" s="514" t="s">
        <v>147</v>
      </c>
      <c r="AN18" s="515"/>
      <c r="AO18" s="316"/>
      <c r="AP18" s="359"/>
      <c r="AQ18" s="359"/>
      <c r="AR18" s="359"/>
      <c r="AS18" s="359"/>
      <c r="AT18" s="359"/>
      <c r="AU18" s="359"/>
      <c r="AV18" s="359"/>
      <c r="AW18" s="359"/>
      <c r="AX18" s="359"/>
      <c r="AY18" s="359"/>
      <c r="AZ18" s="359"/>
      <c r="BA18" s="359"/>
      <c r="BB18" s="359"/>
      <c r="BC18" s="359"/>
      <c r="BD18" s="359"/>
      <c r="BE18" s="359"/>
      <c r="BF18" s="359"/>
      <c r="BG18" s="359"/>
      <c r="BH18" s="359"/>
      <c r="BI18" s="359"/>
      <c r="BJ18" s="359"/>
      <c r="BK18" s="359"/>
      <c r="BL18" s="359"/>
      <c r="BM18" s="359"/>
      <c r="BN18" s="359"/>
      <c r="BO18" s="359"/>
      <c r="BP18" s="359"/>
      <c r="BQ18" s="359"/>
      <c r="BR18" s="359"/>
      <c r="BS18" s="359"/>
      <c r="BT18" s="359"/>
      <c r="BU18" s="359"/>
      <c r="BV18" s="359"/>
      <c r="BW18" s="359"/>
      <c r="BX18" s="359"/>
      <c r="BY18" s="359"/>
      <c r="BZ18" s="359"/>
      <c r="CA18" s="359"/>
      <c r="CB18" s="359"/>
      <c r="CC18" s="359"/>
      <c r="CD18" s="359"/>
      <c r="CE18" s="359"/>
      <c r="CF18" s="359"/>
      <c r="CG18" s="359"/>
      <c r="CH18" s="359"/>
      <c r="CI18" s="359"/>
      <c r="CJ18" s="359"/>
      <c r="CK18" s="359"/>
      <c r="CL18" s="359"/>
      <c r="CM18" s="359"/>
      <c r="CN18" s="359"/>
      <c r="CO18" s="359"/>
      <c r="CP18" s="359"/>
      <c r="CQ18" s="359"/>
      <c r="CR18" s="359"/>
      <c r="CS18" s="359"/>
      <c r="CT18" s="359"/>
      <c r="CU18" s="359"/>
      <c r="CV18" s="359"/>
      <c r="CW18" s="359"/>
      <c r="CX18" s="359"/>
      <c r="CY18" s="359"/>
      <c r="CZ18" s="359"/>
      <c r="DA18" s="359"/>
      <c r="DB18" s="359"/>
      <c r="DC18" s="359"/>
      <c r="DD18" s="359"/>
      <c r="DE18" s="359"/>
      <c r="DF18" s="359"/>
      <c r="DG18" s="359"/>
      <c r="DH18" s="359"/>
      <c r="DI18" s="359"/>
      <c r="DJ18" s="359"/>
      <c r="DK18" s="359"/>
      <c r="DL18" s="359"/>
      <c r="DM18" s="359"/>
      <c r="DN18" s="359"/>
      <c r="DO18" s="359"/>
      <c r="DP18" s="359"/>
      <c r="DQ18" s="359"/>
      <c r="DR18" s="359"/>
      <c r="DS18" s="359"/>
      <c r="DT18" s="359"/>
      <c r="DU18" s="359"/>
      <c r="DV18" s="359"/>
      <c r="DW18" s="359"/>
      <c r="DX18" s="359"/>
      <c r="DY18" s="359"/>
      <c r="DZ18" s="359"/>
      <c r="EA18" s="359"/>
      <c r="EB18" s="359"/>
      <c r="EC18" s="359"/>
      <c r="ED18" s="359"/>
      <c r="EE18" s="359"/>
      <c r="EF18" s="359"/>
      <c r="EG18" s="359"/>
      <c r="EH18" s="359"/>
      <c r="EI18" s="359"/>
      <c r="EJ18" s="359"/>
      <c r="EK18" s="359"/>
      <c r="EL18" s="359"/>
      <c r="EM18" s="359"/>
      <c r="EN18" s="359"/>
      <c r="EO18" s="359"/>
      <c r="EP18" s="359"/>
      <c r="EQ18" s="359"/>
      <c r="ER18" s="359"/>
      <c r="ES18" s="359"/>
      <c r="ET18" s="359"/>
      <c r="EU18" s="359"/>
      <c r="EV18" s="359"/>
      <c r="EW18" s="359"/>
      <c r="EX18" s="359"/>
      <c r="EY18" s="359"/>
      <c r="EZ18" s="359"/>
      <c r="FA18" s="359"/>
      <c r="FB18" s="359"/>
      <c r="FC18" s="359"/>
      <c r="FD18" s="359"/>
      <c r="FE18" s="359"/>
      <c r="FF18" s="359"/>
      <c r="FG18" s="359"/>
      <c r="FH18" s="359"/>
      <c r="FI18" s="359"/>
      <c r="FJ18" s="359"/>
      <c r="FK18" s="359"/>
      <c r="FL18" s="359"/>
      <c r="FM18" s="359"/>
      <c r="FN18" s="359"/>
      <c r="FO18" s="359"/>
      <c r="FP18" s="359"/>
      <c r="FQ18" s="359"/>
      <c r="FR18" s="359"/>
      <c r="FS18" s="359"/>
      <c r="FT18" s="359"/>
      <c r="FU18" s="359"/>
      <c r="FV18" s="359"/>
      <c r="FW18" s="359"/>
      <c r="FX18" s="359"/>
      <c r="FY18" s="359"/>
      <c r="FZ18" s="359"/>
      <c r="GA18" s="359"/>
      <c r="GB18" s="359"/>
    </row>
    <row r="19" spans="1:184" s="363" customFormat="1" ht="18.75" customHeight="1" thickBot="1" x14ac:dyDescent="0.25">
      <c r="A19" s="1346"/>
      <c r="B19" s="516" t="s">
        <v>9</v>
      </c>
      <c r="C19" s="517"/>
      <c r="D19" s="1437" t="s">
        <v>129</v>
      </c>
      <c r="E19" s="1438"/>
      <c r="F19" s="1438"/>
      <c r="G19" s="1439"/>
      <c r="H19" s="518" t="s">
        <v>11</v>
      </c>
      <c r="I19" s="518" t="s">
        <v>20</v>
      </c>
      <c r="J19" s="519" t="s">
        <v>21</v>
      </c>
      <c r="K19" s="519" t="str">
        <f>IF(K18="","","g")</f>
        <v>g</v>
      </c>
      <c r="L19" s="519" t="s">
        <v>21</v>
      </c>
      <c r="M19" s="519" t="s">
        <v>21</v>
      </c>
      <c r="N19" s="520" t="str">
        <f>IF(N18="","","g")</f>
        <v>g</v>
      </c>
      <c r="O19" s="472" t="s">
        <v>21</v>
      </c>
      <c r="P19" s="472" t="s">
        <v>21</v>
      </c>
      <c r="Q19" s="472" t="s">
        <v>21</v>
      </c>
      <c r="R19" s="472" t="s">
        <v>21</v>
      </c>
      <c r="S19" s="472" t="s">
        <v>21</v>
      </c>
      <c r="T19" s="472" t="s">
        <v>21</v>
      </c>
      <c r="U19" s="471" t="s">
        <v>379</v>
      </c>
      <c r="V19" s="382" t="s">
        <v>9</v>
      </c>
      <c r="W19" s="521" t="s">
        <v>9</v>
      </c>
      <c r="X19" s="522"/>
      <c r="Y19" s="471" t="s">
        <v>20</v>
      </c>
      <c r="Z19" s="471"/>
      <c r="AA19" s="472" t="s">
        <v>21</v>
      </c>
      <c r="AB19" s="472" t="str">
        <f>K19</f>
        <v>g</v>
      </c>
      <c r="AC19" s="472" t="s">
        <v>21</v>
      </c>
      <c r="AD19" s="471" t="s">
        <v>21</v>
      </c>
      <c r="AE19" s="471" t="s">
        <v>21</v>
      </c>
      <c r="AF19" s="472" t="s">
        <v>21</v>
      </c>
      <c r="AG19" s="471" t="s">
        <v>21</v>
      </c>
      <c r="AH19" s="471" t="s">
        <v>21</v>
      </c>
      <c r="AI19" s="472" t="s">
        <v>21</v>
      </c>
      <c r="AJ19" s="472" t="s">
        <v>21</v>
      </c>
      <c r="AK19" s="472" t="s">
        <v>21</v>
      </c>
      <c r="AL19" s="422" t="s">
        <v>381</v>
      </c>
      <c r="AM19" s="523" t="s">
        <v>9</v>
      </c>
      <c r="AN19" s="468"/>
      <c r="AO19" s="316"/>
      <c r="AP19" s="359"/>
      <c r="AQ19" s="359"/>
      <c r="AR19" s="359"/>
      <c r="AS19" s="359"/>
      <c r="AT19" s="359"/>
      <c r="AU19" s="359"/>
      <c r="AV19" s="359"/>
      <c r="AW19" s="359"/>
      <c r="AX19" s="359"/>
      <c r="AY19" s="359"/>
      <c r="AZ19" s="359"/>
      <c r="BA19" s="359"/>
      <c r="BB19" s="359"/>
      <c r="BC19" s="359"/>
      <c r="BD19" s="359"/>
      <c r="BE19" s="359"/>
      <c r="BF19" s="359"/>
      <c r="BG19" s="359"/>
      <c r="BH19" s="359"/>
      <c r="BI19" s="359"/>
      <c r="BJ19" s="359"/>
      <c r="BK19" s="359"/>
      <c r="BL19" s="359"/>
      <c r="BM19" s="359"/>
      <c r="BN19" s="359"/>
      <c r="BO19" s="359"/>
      <c r="BP19" s="359"/>
      <c r="BQ19" s="359"/>
      <c r="BR19" s="359"/>
      <c r="BS19" s="359"/>
      <c r="BT19" s="359"/>
      <c r="BU19" s="359"/>
      <c r="BV19" s="359"/>
      <c r="BW19" s="359"/>
      <c r="BX19" s="359"/>
      <c r="BY19" s="359"/>
      <c r="BZ19" s="359"/>
      <c r="CA19" s="359"/>
      <c r="CB19" s="359"/>
      <c r="CC19" s="359"/>
      <c r="CD19" s="359"/>
      <c r="CE19" s="359"/>
      <c r="CF19" s="359"/>
      <c r="CG19" s="359"/>
      <c r="CH19" s="359"/>
      <c r="CI19" s="359"/>
      <c r="CJ19" s="359"/>
      <c r="CK19" s="359"/>
      <c r="CL19" s="359"/>
      <c r="CM19" s="359"/>
      <c r="CN19" s="359"/>
      <c r="CO19" s="359"/>
      <c r="CP19" s="359"/>
      <c r="CQ19" s="359"/>
      <c r="CR19" s="359"/>
      <c r="CS19" s="359"/>
      <c r="CT19" s="359"/>
      <c r="CU19" s="359"/>
      <c r="CV19" s="359"/>
      <c r="CW19" s="359"/>
      <c r="CX19" s="359"/>
      <c r="CY19" s="359"/>
      <c r="CZ19" s="359"/>
      <c r="DA19" s="359"/>
      <c r="DB19" s="359"/>
      <c r="DC19" s="359"/>
      <c r="DD19" s="359"/>
      <c r="DE19" s="359"/>
      <c r="DF19" s="359"/>
      <c r="DG19" s="359"/>
      <c r="DH19" s="359"/>
      <c r="DI19" s="359"/>
      <c r="DJ19" s="359"/>
      <c r="DK19" s="359"/>
      <c r="DL19" s="359"/>
      <c r="DM19" s="359"/>
      <c r="DN19" s="359"/>
      <c r="DO19" s="359"/>
      <c r="DP19" s="359"/>
      <c r="DQ19" s="359"/>
      <c r="DR19" s="359"/>
      <c r="DS19" s="359"/>
      <c r="DT19" s="359"/>
      <c r="DU19" s="359"/>
      <c r="DV19" s="359"/>
      <c r="DW19" s="359"/>
      <c r="DX19" s="359"/>
      <c r="DY19" s="359"/>
      <c r="DZ19" s="359"/>
      <c r="EA19" s="359"/>
      <c r="EB19" s="359"/>
      <c r="EC19" s="359"/>
      <c r="ED19" s="359"/>
      <c r="EE19" s="359"/>
      <c r="EF19" s="359"/>
      <c r="EG19" s="359"/>
      <c r="EH19" s="359"/>
      <c r="EI19" s="359"/>
      <c r="EJ19" s="359"/>
      <c r="EK19" s="359"/>
      <c r="EL19" s="359"/>
      <c r="EM19" s="359"/>
      <c r="EN19" s="359"/>
      <c r="EO19" s="359"/>
      <c r="EP19" s="359"/>
      <c r="EQ19" s="359"/>
      <c r="ER19" s="359"/>
      <c r="ES19" s="359"/>
      <c r="ET19" s="359"/>
      <c r="EU19" s="359"/>
      <c r="EV19" s="359"/>
      <c r="EW19" s="359"/>
      <c r="EX19" s="359"/>
      <c r="EY19" s="359"/>
      <c r="EZ19" s="359"/>
      <c r="FA19" s="359"/>
      <c r="FB19" s="359"/>
      <c r="FC19" s="359"/>
      <c r="FD19" s="359"/>
      <c r="FE19" s="359"/>
      <c r="FF19" s="359"/>
      <c r="FG19" s="359"/>
      <c r="FH19" s="359"/>
      <c r="FI19" s="359"/>
      <c r="FJ19" s="359"/>
      <c r="FK19" s="359"/>
      <c r="FL19" s="359"/>
      <c r="FM19" s="359"/>
      <c r="FN19" s="359"/>
      <c r="FO19" s="359"/>
      <c r="FP19" s="359"/>
      <c r="FQ19" s="359"/>
      <c r="FR19" s="359"/>
      <c r="FS19" s="359"/>
      <c r="FT19" s="359"/>
      <c r="FU19" s="359"/>
      <c r="FV19" s="359"/>
      <c r="FW19" s="359"/>
      <c r="FX19" s="359"/>
      <c r="FY19" s="359"/>
      <c r="FZ19" s="359"/>
      <c r="GA19" s="359"/>
      <c r="GB19" s="359"/>
    </row>
    <row r="20" spans="1:184" s="359" customFormat="1" ht="18.75" customHeight="1" thickBot="1" x14ac:dyDescent="0.25">
      <c r="A20" s="1347"/>
      <c r="B20" s="29"/>
      <c r="C20" s="1337">
        <v>48</v>
      </c>
      <c r="D20" s="24">
        <f>INDEX(Tabelle,$C20,2)</f>
        <v>0</v>
      </c>
      <c r="E20" s="1329"/>
      <c r="F20" s="1330">
        <f>IF(INDEX(Tabelle,$C20,22)="","",1)</f>
        <v>1</v>
      </c>
      <c r="G20" s="1335" t="str">
        <f>IF(INDEX(Tabelle,$C20,1)="G","G","")</f>
        <v/>
      </c>
      <c r="H20" s="379">
        <f>IF(OR(INDEX(Tabelle,$C20,3)="",INDEX(Tabelle,$C20,3)=0.0001),"",INDEX(Tabelle,$C20,3)/10)</f>
        <v>0</v>
      </c>
      <c r="I20" s="524">
        <f>ROUND(IF(Art=1,INDEX(Tabelle,$C20,4),INDEX(Tabelle,$C20,5)),2)</f>
        <v>0</v>
      </c>
      <c r="J20" s="525">
        <f>ROUND(IF(Art=1,INDEX(Tabelle,$C20,8),INDEX(Tabelle,$C20,6)),0)</f>
        <v>0</v>
      </c>
      <c r="K20" s="524">
        <f>IF(Art=1,IF(OR(INDEX(Tabelle,$C20,9)="",INDEX(Tabelle,$C20,9)=0.0001),0,INDEX(Tabelle,$C20,9)),0)</f>
        <v>0</v>
      </c>
      <c r="L20" s="525">
        <f>IF(OR(INDEX(Tabelle,$C20,14)="",INDEX(Tabelle,$C20,14)=0.0001),0,INDEX(Tabelle,$C20,14))</f>
        <v>0</v>
      </c>
      <c r="M20" s="525">
        <f>IF(Art=1,ROUND(INDEX(Tabelle,$C20,17),0),0)</f>
        <v>0</v>
      </c>
      <c r="N20" s="526">
        <f>IF(OR(INDEX(Tabelle,$C20,12)="",INDEX(Tabelle,$C20,12)=0.0001),0,INDEX(Tabelle,$C20,12))</f>
        <v>0</v>
      </c>
      <c r="O20" s="527">
        <f>IF(G20="G",N20,0)</f>
        <v>0</v>
      </c>
      <c r="P20" s="525">
        <f>INDEX(Tabelle,$C20,13)</f>
        <v>1E-4</v>
      </c>
      <c r="Q20" s="525">
        <f>INDEX(Tabelle,$C20,15)*INDEX(Tabelle,$C20,14)</f>
        <v>1E-8</v>
      </c>
      <c r="R20" s="525">
        <f>INDEX(Tabelle,$C20,16)</f>
        <v>1E-4</v>
      </c>
      <c r="S20" s="528">
        <f>INDEX(Tabelle,$C20,18)</f>
        <v>1E-4</v>
      </c>
      <c r="T20" s="528">
        <f>INDEX(Tabelle,$C20,6)</f>
        <v>1E-4</v>
      </c>
      <c r="U20" s="529">
        <f>INDEX(Tabelle,$C20,29)</f>
        <v>0</v>
      </c>
      <c r="V20" s="530" t="e">
        <f>IF(H20="",0,IF(TM_FM=2,B20,B20/H20*100))</f>
        <v>#DIV/0!</v>
      </c>
      <c r="W20" s="531">
        <f>IF(H20="",0,IF(TM_FM=1,B20,B20*H20/100))</f>
        <v>0</v>
      </c>
      <c r="X20" s="525">
        <f>IF(G20="G",W20,0)</f>
        <v>0</v>
      </c>
      <c r="Y20" s="532">
        <f>W20*I20</f>
        <v>0</v>
      </c>
      <c r="Z20" s="525">
        <f>IF(G20="G",I20*W20,0)</f>
        <v>0</v>
      </c>
      <c r="AA20" s="525">
        <f>W20*J20</f>
        <v>0</v>
      </c>
      <c r="AB20" s="524">
        <f>W20*K20</f>
        <v>0</v>
      </c>
      <c r="AC20" s="525">
        <f>+W20*L20</f>
        <v>0</v>
      </c>
      <c r="AD20" s="527">
        <f>+W20*M20</f>
        <v>0</v>
      </c>
      <c r="AE20" s="527">
        <f>IF(N20="-","k.A.",N20*$W20)</f>
        <v>0</v>
      </c>
      <c r="AF20" s="525">
        <f>IF(G20="G",N20*W20,0)</f>
        <v>0</v>
      </c>
      <c r="AG20" s="527">
        <f>+W20*P20</f>
        <v>0</v>
      </c>
      <c r="AH20" s="527">
        <f>+W20*Q20</f>
        <v>0</v>
      </c>
      <c r="AI20" s="525">
        <f>+W20*R20</f>
        <v>0</v>
      </c>
      <c r="AJ20" s="525">
        <f>W20*S20</f>
        <v>0</v>
      </c>
      <c r="AK20" s="525">
        <f>W20*T20</f>
        <v>0</v>
      </c>
      <c r="AL20" s="533" t="e">
        <f>IF(V20=0,0,V20*U20/100)</f>
        <v>#DIV/0!</v>
      </c>
      <c r="AM20" s="534" t="str">
        <f>IF(Tiere&gt;0,Tiere*V20,"")</f>
        <v/>
      </c>
      <c r="AN20" s="535" t="str">
        <f>IF(B20="","",IF(COUNTIF(H20:N20,0)&gt;0,"?",""))</f>
        <v/>
      </c>
      <c r="AO20" s="27"/>
    </row>
    <row r="21" spans="1:184" s="359" customFormat="1" ht="18.75" customHeight="1" thickBot="1" x14ac:dyDescent="0.25">
      <c r="A21" s="1347"/>
      <c r="B21" s="32"/>
      <c r="C21" s="1338">
        <v>193</v>
      </c>
      <c r="D21" s="25">
        <f>INDEX(Tabelle,$C21,2)</f>
        <v>0</v>
      </c>
      <c r="E21" s="1331"/>
      <c r="F21" s="1332">
        <f>IF(INDEX(Tabelle,$C21,22)="","",1)</f>
        <v>1</v>
      </c>
      <c r="G21" s="1336" t="str">
        <f>IF(INDEX(Tabelle,$C21,1)="G","G","")</f>
        <v/>
      </c>
      <c r="H21" s="536">
        <f>IF(OR(INDEX(Tabelle,$C21,3)="",INDEX(Tabelle,$C21,3)=0.0001),"",INDEX(Tabelle,$C21,3)/10)</f>
        <v>0</v>
      </c>
      <c r="I21" s="537">
        <f>ROUND(IF(Art=1,INDEX(Tabelle,$C21,4),INDEX(Tabelle,$C21,5)),2)</f>
        <v>0</v>
      </c>
      <c r="J21" s="538">
        <f>ROUND(IF(Art=1,INDEX(Tabelle,$C21,8),INDEX(Tabelle,$C21,6)),0)</f>
        <v>0</v>
      </c>
      <c r="K21" s="537">
        <f>IF(Art=1,IF(OR(INDEX(Tabelle,$C21,9)="",INDEX(Tabelle,$C21,9)=0.0001),0,INDEX(Tabelle,$C21,9)),0)</f>
        <v>0</v>
      </c>
      <c r="L21" s="538">
        <f>IF(OR(INDEX(Tabelle,$C21,14)="",INDEX(Tabelle,$C21,14)=0.0001),0,INDEX(Tabelle,$C21,14))</f>
        <v>0</v>
      </c>
      <c r="M21" s="538">
        <f>IF(Art=1,ROUND(INDEX(Tabelle,$C21,17),0),0)</f>
        <v>0</v>
      </c>
      <c r="N21" s="539">
        <f>IF(OR(INDEX(Tabelle,$C21,12)="",INDEX(Tabelle,$C21,12)=0.0001),0,INDEX(Tabelle,$C21,12))</f>
        <v>0</v>
      </c>
      <c r="O21" s="540">
        <f>IF(G21="G",N21,0)</f>
        <v>0</v>
      </c>
      <c r="P21" s="541">
        <f>INDEX(Tabelle,$C21,13)</f>
        <v>1E-4</v>
      </c>
      <c r="Q21" s="541">
        <f>INDEX(Tabelle,$C21,15)*INDEX(Tabelle,$C21,14)</f>
        <v>1E-8</v>
      </c>
      <c r="R21" s="541">
        <f>INDEX(Tabelle,$C21,16)</f>
        <v>1E-4</v>
      </c>
      <c r="S21" s="542">
        <f>INDEX(Tabelle,$C21,18)</f>
        <v>1E-4</v>
      </c>
      <c r="T21" s="542">
        <f>INDEX(Tabelle,$C21,6)</f>
        <v>1E-4</v>
      </c>
      <c r="U21" s="539">
        <f>INDEX(Tabelle,$C21,29)</f>
        <v>0</v>
      </c>
      <c r="V21" s="543" t="e">
        <f>IF(H21="",0,IF(TM_FM=2,B21,B21/H21*100))</f>
        <v>#DIV/0!</v>
      </c>
      <c r="W21" s="531">
        <f>IF(H21="",0,IF(TM_FM=1,B21,B21*H21/100))</f>
        <v>0</v>
      </c>
      <c r="X21" s="525">
        <f>IF(G21="G",W21,0)</f>
        <v>0</v>
      </c>
      <c r="Y21" s="544">
        <f>W21*I21</f>
        <v>0</v>
      </c>
      <c r="Z21" s="525">
        <f>IF(G21="G",I21*W21,0)</f>
        <v>0</v>
      </c>
      <c r="AA21" s="541">
        <f>W21*J21</f>
        <v>0</v>
      </c>
      <c r="AB21" s="545">
        <f>W21*K21</f>
        <v>0</v>
      </c>
      <c r="AC21" s="541">
        <f>+W21*L21</f>
        <v>0</v>
      </c>
      <c r="AD21" s="546">
        <f>+W21*M21</f>
        <v>0</v>
      </c>
      <c r="AE21" s="546">
        <f>IF(N21="-","k.A.",N21*$W21)</f>
        <v>0</v>
      </c>
      <c r="AF21" s="547">
        <f>IF(G21="G",N21*W21,0)</f>
        <v>0</v>
      </c>
      <c r="AG21" s="546">
        <f>+W21*P21</f>
        <v>0</v>
      </c>
      <c r="AH21" s="546">
        <f>+W21*Q21</f>
        <v>0</v>
      </c>
      <c r="AI21" s="541">
        <f>+W21*R21</f>
        <v>0</v>
      </c>
      <c r="AJ21" s="541">
        <f>W21*S21</f>
        <v>0</v>
      </c>
      <c r="AK21" s="538">
        <f>W21*T21</f>
        <v>0</v>
      </c>
      <c r="AL21" s="533" t="e">
        <f>IF(V21=0,0,V21*U21/100)</f>
        <v>#DIV/0!</v>
      </c>
      <c r="AM21" s="548" t="str">
        <f>IF(Tiere&gt;0,Tiere*V21,"")</f>
        <v/>
      </c>
      <c r="AN21" s="535" t="str">
        <f>IF(B21="","",IF(COUNTIF(H21:N21,0)&gt;0,"?",""))</f>
        <v/>
      </c>
      <c r="AO21" s="27"/>
    </row>
    <row r="22" spans="1:184" s="359" customFormat="1" ht="18.75" customHeight="1" thickBot="1" x14ac:dyDescent="0.25">
      <c r="A22" s="1347"/>
      <c r="B22" s="32">
        <v>0</v>
      </c>
      <c r="C22" s="1338">
        <v>4</v>
      </c>
      <c r="D22" s="25">
        <f>INDEX(Tabelle,$C22,2)</f>
        <v>0</v>
      </c>
      <c r="E22" s="1331"/>
      <c r="F22" s="1332" t="str">
        <f>IF(INDEX(Tabelle,$C22,22)="","",1)</f>
        <v/>
      </c>
      <c r="G22" s="1336" t="str">
        <f>IF(INDEX(Tabelle,$C22,1)="G","G","")</f>
        <v/>
      </c>
      <c r="H22" s="536" t="str">
        <f>IF(OR(INDEX(Tabelle,$C22,3)="",INDEX(Tabelle,$C22,3)=0.0001),"",INDEX(Tabelle,$C22,3)/10)</f>
        <v/>
      </c>
      <c r="I22" s="537">
        <f>ROUND(IF(Art=1,INDEX(Tabelle,$C22,4),INDEX(Tabelle,$C22,5)),2)</f>
        <v>0</v>
      </c>
      <c r="J22" s="538">
        <f>ROUND(IF(Art=1,INDEX(Tabelle,$C22,8),INDEX(Tabelle,$C22,6)),0)</f>
        <v>0</v>
      </c>
      <c r="K22" s="537">
        <f>IF(Art=1,IF(OR(INDEX(Tabelle,$C22,9)="",INDEX(Tabelle,$C22,9)=0.0001),0,INDEX(Tabelle,$C22,9)),0)</f>
        <v>0</v>
      </c>
      <c r="L22" s="538">
        <f>IF(OR(INDEX(Tabelle,$C22,14)="",INDEX(Tabelle,$C22,14)=0.0001),0,INDEX(Tabelle,$C22,14))</f>
        <v>0</v>
      </c>
      <c r="M22" s="538">
        <f>IF(Art=1,ROUND(INDEX(Tabelle,$C22,17),0),0)</f>
        <v>0</v>
      </c>
      <c r="N22" s="539">
        <f>IF(OR(INDEX(Tabelle,$C22,12)="",INDEX(Tabelle,$C22,12)=0.0001),0,INDEX(Tabelle,$C22,12))</f>
        <v>0</v>
      </c>
      <c r="O22" s="540">
        <f>IF(G22="G",N22,0)</f>
        <v>0</v>
      </c>
      <c r="P22" s="541">
        <f>INDEX(Tabelle,$C22,13)</f>
        <v>0</v>
      </c>
      <c r="Q22" s="541">
        <f>INDEX(Tabelle,$C22,15)*INDEX(Tabelle,$C22,14)</f>
        <v>0</v>
      </c>
      <c r="R22" s="541">
        <f>INDEX(Tabelle,$C22,16)</f>
        <v>0</v>
      </c>
      <c r="S22" s="542">
        <f>INDEX(Tabelle,$C22,18)</f>
        <v>0</v>
      </c>
      <c r="T22" s="542">
        <f>INDEX(Tabelle,$C22,6)</f>
        <v>0</v>
      </c>
      <c r="U22" s="539">
        <f>INDEX(Tabelle,$C22,29)</f>
        <v>0</v>
      </c>
      <c r="V22" s="543">
        <f>IF(H22="",0,IF(TM_FM=2,B22,B22/H22*100))</f>
        <v>0</v>
      </c>
      <c r="W22" s="531">
        <f>IF(H22="",0,IF(TM_FM=1,B22,B22*H22/100))</f>
        <v>0</v>
      </c>
      <c r="X22" s="525">
        <f>IF(G22="G",W22,0)</f>
        <v>0</v>
      </c>
      <c r="Y22" s="544">
        <f>W22*I22</f>
        <v>0</v>
      </c>
      <c r="Z22" s="525">
        <f>IF(G22="G",I22*W22,0)</f>
        <v>0</v>
      </c>
      <c r="AA22" s="541">
        <f>W22*J22</f>
        <v>0</v>
      </c>
      <c r="AB22" s="545">
        <f>W22*K22</f>
        <v>0</v>
      </c>
      <c r="AC22" s="541">
        <f>+W22*L22</f>
        <v>0</v>
      </c>
      <c r="AD22" s="546">
        <f>+W22*M22</f>
        <v>0</v>
      </c>
      <c r="AE22" s="546">
        <f>IF(N22="-","k.A.",N22*$W22)</f>
        <v>0</v>
      </c>
      <c r="AF22" s="547">
        <f>IF(G22="G",N22*W22,0)</f>
        <v>0</v>
      </c>
      <c r="AG22" s="546">
        <f>+W22*P22</f>
        <v>0</v>
      </c>
      <c r="AH22" s="546">
        <f>+W22*Q22</f>
        <v>0</v>
      </c>
      <c r="AI22" s="541">
        <f>+W22*R22</f>
        <v>0</v>
      </c>
      <c r="AJ22" s="541">
        <f>W22*S22</f>
        <v>0</v>
      </c>
      <c r="AK22" s="538">
        <f>W22*T22</f>
        <v>0</v>
      </c>
      <c r="AL22" s="533">
        <f>IF(V22=0,0,V22*U22/100)</f>
        <v>0</v>
      </c>
      <c r="AM22" s="548" t="str">
        <f>IF(Tiere&gt;0,Tiere*V22,"")</f>
        <v/>
      </c>
      <c r="AN22" s="535" t="str">
        <f>IF(B22="","",IF(COUNTIF(H22:N22,0)&gt;0,"?",""))</f>
        <v>?</v>
      </c>
      <c r="AO22" s="27"/>
    </row>
    <row r="23" spans="1:184" s="359" customFormat="1" ht="18.75" customHeight="1" thickBot="1" x14ac:dyDescent="0.25">
      <c r="A23" s="1347"/>
      <c r="B23" s="32"/>
      <c r="C23" s="1338">
        <v>272</v>
      </c>
      <c r="D23" s="25">
        <f>INDEX(Tabelle,$C23,2)</f>
        <v>0</v>
      </c>
      <c r="E23" s="1331"/>
      <c r="F23" s="1332" t="str">
        <f>IF(INDEX(Tabelle,$C23,22)="","",1)</f>
        <v/>
      </c>
      <c r="G23" s="1336" t="str">
        <f>IF(INDEX(Tabelle,$C23,1)="G","G","")</f>
        <v/>
      </c>
      <c r="H23" s="536">
        <f>IF(OR(INDEX(Tabelle,$C23,3)="",INDEX(Tabelle,$C23,3)=0.0001),"",INDEX(Tabelle,$C23,3)/10)</f>
        <v>0</v>
      </c>
      <c r="I23" s="537">
        <f>ROUND(IF(Art=1,INDEX(Tabelle,$C23,4),INDEX(Tabelle,$C23,5)),2)</f>
        <v>0</v>
      </c>
      <c r="J23" s="538">
        <f>ROUND(IF(Art=1,INDEX(Tabelle,$C23,8),INDEX(Tabelle,$C23,6)),0)</f>
        <v>0</v>
      </c>
      <c r="K23" s="537">
        <f>IF(Art=1,IF(OR(INDEX(Tabelle,$C23,9)="",INDEX(Tabelle,$C23,9)=0.0001),0,INDEX(Tabelle,$C23,9)),0)</f>
        <v>0</v>
      </c>
      <c r="L23" s="538">
        <f>IF(OR(INDEX(Tabelle,$C23,14)="",INDEX(Tabelle,$C23,14)=0.0001),0,INDEX(Tabelle,$C23,14))</f>
        <v>0</v>
      </c>
      <c r="M23" s="538">
        <f>IF(Art=1,ROUND(INDEX(Tabelle,$C23,17),0),0)</f>
        <v>0</v>
      </c>
      <c r="N23" s="539">
        <f>IF(OR(INDEX(Tabelle,$C23,12)="",INDEX(Tabelle,$C23,12)=0.0001),0,INDEX(Tabelle,$C23,12))</f>
        <v>0</v>
      </c>
      <c r="O23" s="540">
        <f>IF(G23="G",N23,0)</f>
        <v>0</v>
      </c>
      <c r="P23" s="541">
        <f>INDEX(Tabelle,$C23,13)</f>
        <v>0</v>
      </c>
      <c r="Q23" s="541">
        <f>INDEX(Tabelle,$C23,15)*INDEX(Tabelle,$C23,14)</f>
        <v>0</v>
      </c>
      <c r="R23" s="541">
        <f>INDEX(Tabelle,$C23,16)</f>
        <v>0</v>
      </c>
      <c r="S23" s="549">
        <f>INDEX(Tabelle,$C23,18)</f>
        <v>0</v>
      </c>
      <c r="T23" s="549">
        <f>INDEX(Tabelle,$C23,6)</f>
        <v>0</v>
      </c>
      <c r="U23" s="550">
        <f>INDEX(Tabelle,$C23,29)</f>
        <v>0</v>
      </c>
      <c r="V23" s="543" t="e">
        <f>IF(H23="",0,IF(TM_FM=2,B23,B23/H23*100))</f>
        <v>#DIV/0!</v>
      </c>
      <c r="W23" s="531">
        <f>IF(H23="",0,IF(TM_FM=1,B23,B23*H23/100))</f>
        <v>0</v>
      </c>
      <c r="X23" s="525">
        <f>IF(G23="G",W23,0)</f>
        <v>0</v>
      </c>
      <c r="Y23" s="544">
        <f>W23*I23</f>
        <v>0</v>
      </c>
      <c r="Z23" s="525">
        <f>IF(G23="G",I23*W23,0)</f>
        <v>0</v>
      </c>
      <c r="AA23" s="541">
        <f>W23*J23</f>
        <v>0</v>
      </c>
      <c r="AB23" s="545">
        <f>W23*K23</f>
        <v>0</v>
      </c>
      <c r="AC23" s="541">
        <f>+W23*L23</f>
        <v>0</v>
      </c>
      <c r="AD23" s="546">
        <f>+W23*M23</f>
        <v>0</v>
      </c>
      <c r="AE23" s="546">
        <f>IF(N23="-","k.A.",N23*$W23)</f>
        <v>0</v>
      </c>
      <c r="AF23" s="547">
        <f>IF(G23="G",N23*W23,0)</f>
        <v>0</v>
      </c>
      <c r="AG23" s="546">
        <f>+W23*P23</f>
        <v>0</v>
      </c>
      <c r="AH23" s="546">
        <f>+W23*Q23</f>
        <v>0</v>
      </c>
      <c r="AI23" s="541">
        <f>+W23*R23</f>
        <v>0</v>
      </c>
      <c r="AJ23" s="541">
        <f>W23*S23</f>
        <v>0</v>
      </c>
      <c r="AK23" s="538">
        <f>W23*T23</f>
        <v>0</v>
      </c>
      <c r="AL23" s="533" t="e">
        <f>IF(V23=0,0,V23*U23/100)</f>
        <v>#DIV/0!</v>
      </c>
      <c r="AM23" s="548" t="str">
        <f>IF(Tiere&gt;0,Tiere*V23,"")</f>
        <v/>
      </c>
      <c r="AN23" s="535" t="str">
        <f>IF(B23="","",IF(COUNTIF(H23:N23,0)&gt;0,"?",""))</f>
        <v/>
      </c>
      <c r="AO23" s="27"/>
    </row>
    <row r="24" spans="1:184" s="359" customFormat="1" ht="18.75" customHeight="1" thickBot="1" x14ac:dyDescent="0.25">
      <c r="A24" s="1347"/>
      <c r="B24" s="30"/>
      <c r="C24" s="1339">
        <v>276</v>
      </c>
      <c r="D24" s="26">
        <f>INDEX(Tabelle,$C24,2)</f>
        <v>0</v>
      </c>
      <c r="E24" s="1333"/>
      <c r="F24" s="1334" t="str">
        <f>IF(INDEX(Tabelle,$C24,22)="","",1)</f>
        <v/>
      </c>
      <c r="G24" s="1336" t="str">
        <f>IF(INDEX(Tabelle,$C24,1)="G","G","")</f>
        <v/>
      </c>
      <c r="H24" s="551">
        <f>IF(OR(INDEX(Tabelle,$C24,3)="",INDEX(Tabelle,$C24,3)=0.0001),"",INDEX(Tabelle,$C24,3)/10)</f>
        <v>0</v>
      </c>
      <c r="I24" s="552">
        <f>ROUND(IF(Art=1,INDEX(Tabelle,$C24,4),INDEX(Tabelle,$C24,5)),2)</f>
        <v>0</v>
      </c>
      <c r="J24" s="553">
        <f>ROUND(IF(Art=1,INDEX(Tabelle,$C24,8),INDEX(Tabelle,$C24,6)),0)</f>
        <v>0</v>
      </c>
      <c r="K24" s="472">
        <f>IF(Art=1,IF(OR(INDEX(Tabelle,$C24,9)="",INDEX(Tabelle,$C24,9)=0.0001),0,INDEX(Tabelle,$C24,9)),0)</f>
        <v>0</v>
      </c>
      <c r="L24" s="553">
        <f>IF(OR(INDEX(Tabelle,$C24,14)="",INDEX(Tabelle,$C24,14)=0.0001),0,INDEX(Tabelle,$C24,14))</f>
        <v>0</v>
      </c>
      <c r="M24" s="553">
        <f>IF(Art=1,ROUND(INDEX(Tabelle,$C24,17),0),0)</f>
        <v>0</v>
      </c>
      <c r="N24" s="554">
        <f>IF(OR(INDEX(Tabelle,$C24,12)="",INDEX(Tabelle,$C24,12)=0.0001),0,INDEX(Tabelle,$C24,12))</f>
        <v>0</v>
      </c>
      <c r="O24" s="555">
        <f>IF(G24="G",N24,0)</f>
        <v>0</v>
      </c>
      <c r="P24" s="553">
        <f>INDEX(Tabelle,$C24,13)</f>
        <v>0</v>
      </c>
      <c r="Q24" s="553">
        <f>INDEX(Tabelle,$C24,15)*INDEX(Tabelle,$C24,14)</f>
        <v>0</v>
      </c>
      <c r="R24" s="553">
        <f>INDEX(Tabelle,$C24,16)</f>
        <v>0</v>
      </c>
      <c r="S24" s="556">
        <f>INDEX(Tabelle,$C24,18)</f>
        <v>0</v>
      </c>
      <c r="T24" s="556">
        <f>INDEX(Tabelle,$C24,6)</f>
        <v>0</v>
      </c>
      <c r="U24" s="554">
        <f>INDEX(Tabelle,$C24,29)</f>
        <v>0</v>
      </c>
      <c r="V24" s="557" t="e">
        <f>IF(H24="",0,IF(TM_FM=2,B24,B24/H24*100))</f>
        <v>#DIV/0!</v>
      </c>
      <c r="W24" s="558">
        <f>IF(H24="",0,IF(TM_FM=1,B24,B24*H24/100))</f>
        <v>0</v>
      </c>
      <c r="X24" s="525">
        <f>IF(G24="G",W24,0)</f>
        <v>0</v>
      </c>
      <c r="Y24" s="559">
        <f>W24*I24</f>
        <v>0</v>
      </c>
      <c r="Z24" s="525">
        <f>IF(G24="G",I24*W24,0)</f>
        <v>0</v>
      </c>
      <c r="AA24" s="553">
        <f>W24*J24</f>
        <v>0</v>
      </c>
      <c r="AB24" s="552">
        <f>W24*K24</f>
        <v>0</v>
      </c>
      <c r="AC24" s="553">
        <f>+W24*L24</f>
        <v>0</v>
      </c>
      <c r="AD24" s="560">
        <f>+W24*M24</f>
        <v>0</v>
      </c>
      <c r="AE24" s="560">
        <f>IF(N24="-","k.A.",N24*$W24)</f>
        <v>0</v>
      </c>
      <c r="AF24" s="553">
        <f>IF(G24="G",N24*W24,0)</f>
        <v>0</v>
      </c>
      <c r="AG24" s="560">
        <f>+W24*P24</f>
        <v>0</v>
      </c>
      <c r="AH24" s="560">
        <f>+W24*Q24</f>
        <v>0</v>
      </c>
      <c r="AI24" s="553">
        <f>+W24*R24</f>
        <v>0</v>
      </c>
      <c r="AJ24" s="553">
        <f>W24*S24</f>
        <v>0</v>
      </c>
      <c r="AK24" s="553">
        <f>W24*T24</f>
        <v>0</v>
      </c>
      <c r="AL24" s="533" t="e">
        <f>IF(V24=0,0,V24*U24/100)</f>
        <v>#DIV/0!</v>
      </c>
      <c r="AM24" s="561" t="str">
        <f>IF(Tiere&gt;0,Tiere*V24,"")</f>
        <v/>
      </c>
      <c r="AN24" s="535" t="str">
        <f>IF(B24="","",IF(COUNTIF(H24:N24,0)&gt;0,"?",""))</f>
        <v/>
      </c>
      <c r="AO24" s="27"/>
    </row>
    <row r="25" spans="1:184" s="359" customFormat="1" ht="17.25" customHeight="1" thickBot="1" x14ac:dyDescent="0.25">
      <c r="A25" s="1347"/>
      <c r="B25" s="1348"/>
      <c r="C25" s="1348"/>
      <c r="D25" s="1348"/>
      <c r="E25" s="1348"/>
      <c r="F25" s="1349"/>
      <c r="G25" s="1350"/>
      <c r="H25" s="564"/>
      <c r="I25" s="396"/>
      <c r="J25" s="396"/>
      <c r="K25" s="396"/>
      <c r="L25" s="396"/>
      <c r="M25" s="396"/>
      <c r="N25" s="565"/>
      <c r="O25" s="566"/>
      <c r="P25" s="566"/>
      <c r="Q25" s="566"/>
      <c r="R25" s="566"/>
      <c r="S25" s="566"/>
      <c r="T25" s="566"/>
      <c r="U25" s="566"/>
      <c r="V25" s="567" t="e">
        <f>SUM(V20:V24)</f>
        <v>#DIV/0!</v>
      </c>
      <c r="W25" s="568">
        <f>SUM(W20:W24)</f>
        <v>0</v>
      </c>
      <c r="X25" s="569"/>
      <c r="Y25" s="498">
        <f>SUM(Y20:Y24)</f>
        <v>0</v>
      </c>
      <c r="Z25" s="498"/>
      <c r="AA25" s="570">
        <f>SUM(AA20:AA24)</f>
        <v>0</v>
      </c>
      <c r="AB25" s="385">
        <f>SUM(AB20:AB24)</f>
        <v>0</v>
      </c>
      <c r="AC25" s="570">
        <f>SUM(AC20:AC24)</f>
        <v>0</v>
      </c>
      <c r="AD25" s="571">
        <f>SUM(AD20:AD24)</f>
        <v>0</v>
      </c>
      <c r="AE25" s="570">
        <f>SUM(AE20:AE24)</f>
        <v>0</v>
      </c>
      <c r="AF25" s="570">
        <f>SUM(AF20:AF24)</f>
        <v>0</v>
      </c>
      <c r="AG25" s="570">
        <f>SUM(AG20:AG24)</f>
        <v>0</v>
      </c>
      <c r="AH25" s="570">
        <f>SUM(AH20:AH24)</f>
        <v>0</v>
      </c>
      <c r="AI25" s="570">
        <f>SUM(AI20:AI24)</f>
        <v>0</v>
      </c>
      <c r="AJ25" s="570">
        <f>SUM(AJ20:AJ24)</f>
        <v>0</v>
      </c>
      <c r="AK25" s="570">
        <f>SUM(AK20:AK24)</f>
        <v>0</v>
      </c>
      <c r="AL25" s="572" t="e">
        <f>SUM(AL20:AL24)</f>
        <v>#DIV/0!</v>
      </c>
      <c r="AM25" s="573">
        <f>SUM(AM20:AM24)</f>
        <v>0</v>
      </c>
      <c r="AN25" s="535"/>
      <c r="AO25" s="27"/>
    </row>
    <row r="26" spans="1:184" s="359" customFormat="1" ht="18.75" customHeight="1" thickBot="1" x14ac:dyDescent="0.25">
      <c r="A26" s="1353"/>
      <c r="B26" s="1354"/>
      <c r="C26" s="1355"/>
      <c r="D26" s="1431" t="s">
        <v>148</v>
      </c>
      <c r="E26" s="1432"/>
      <c r="F26" s="1432"/>
      <c r="G26" s="1433"/>
      <c r="H26" s="564"/>
      <c r="I26" s="396"/>
      <c r="J26" s="396"/>
      <c r="K26" s="396"/>
      <c r="L26" s="575"/>
      <c r="M26" s="396"/>
      <c r="N26" s="576"/>
      <c r="O26" s="491"/>
      <c r="P26" s="575"/>
      <c r="Q26" s="575"/>
      <c r="R26" s="575"/>
      <c r="S26" s="575"/>
      <c r="T26" s="575"/>
      <c r="U26" s="575"/>
      <c r="V26" s="577" t="s">
        <v>146</v>
      </c>
      <c r="W26" s="578" t="str">
        <f>IF(W25=0,"",TM_GF/V25)</f>
        <v/>
      </c>
      <c r="X26" s="579"/>
      <c r="Y26" s="580" t="str">
        <f t="shared" ref="Y26:AF26" si="2">IF($W$25&gt;0,Y25/TM_GF,"")</f>
        <v/>
      </c>
      <c r="Z26" s="580"/>
      <c r="AA26" s="581" t="str">
        <f t="shared" si="2"/>
        <v/>
      </c>
      <c r="AB26" s="582" t="str">
        <f t="shared" si="2"/>
        <v/>
      </c>
      <c r="AC26" s="581" t="str">
        <f t="shared" si="2"/>
        <v/>
      </c>
      <c r="AD26" s="581" t="str">
        <f t="shared" si="2"/>
        <v/>
      </c>
      <c r="AE26" s="581" t="str">
        <f t="shared" si="2"/>
        <v/>
      </c>
      <c r="AF26" s="581" t="str">
        <f t="shared" si="2"/>
        <v/>
      </c>
      <c r="AG26" s="562"/>
      <c r="AH26" s="562"/>
      <c r="AI26" s="562"/>
      <c r="AJ26" s="562"/>
      <c r="AK26" s="562"/>
      <c r="AL26" s="562"/>
      <c r="AM26" s="562"/>
      <c r="AN26" s="583"/>
      <c r="AO26" s="27"/>
    </row>
    <row r="27" spans="1:184" s="358" customFormat="1" ht="4.5" customHeight="1" thickBot="1" x14ac:dyDescent="0.25">
      <c r="A27" s="1340"/>
      <c r="B27" s="1348"/>
      <c r="C27" s="1348"/>
      <c r="D27" s="1434"/>
      <c r="E27" s="1435"/>
      <c r="F27" s="1435"/>
      <c r="G27" s="1436"/>
      <c r="H27" s="1351"/>
      <c r="I27" s="1352"/>
      <c r="J27" s="1352"/>
      <c r="K27" s="396"/>
      <c r="L27" s="575"/>
      <c r="M27" s="575"/>
      <c r="N27" s="576"/>
      <c r="O27" s="491"/>
      <c r="P27" s="575"/>
      <c r="Q27" s="575"/>
      <c r="R27" s="575"/>
      <c r="S27" s="575"/>
      <c r="T27" s="575"/>
      <c r="U27" s="575"/>
      <c r="V27" s="1352"/>
      <c r="W27" s="1358"/>
      <c r="X27" s="1358"/>
      <c r="Y27" s="1352"/>
      <c r="Z27" s="1352"/>
      <c r="AA27" s="1352"/>
      <c r="AB27" s="1348"/>
      <c r="AC27" s="1357"/>
      <c r="AD27" s="1357"/>
      <c r="AE27" s="1348"/>
      <c r="AF27" s="1348"/>
      <c r="AG27" s="1348"/>
      <c r="AH27" s="1357"/>
      <c r="AI27" s="1357"/>
      <c r="AJ27" s="1348"/>
      <c r="AK27" s="1348"/>
      <c r="AL27" s="1348"/>
      <c r="AM27" s="1348"/>
      <c r="AN27" s="430"/>
      <c r="AP27" s="359"/>
      <c r="AQ27" s="359"/>
      <c r="AR27" s="359"/>
      <c r="AS27" s="359"/>
      <c r="AT27" s="359"/>
      <c r="AU27" s="359"/>
      <c r="AV27" s="359"/>
      <c r="AW27" s="359"/>
      <c r="AX27" s="359"/>
      <c r="AY27" s="359"/>
      <c r="AZ27" s="359"/>
      <c r="BA27" s="359"/>
      <c r="BB27" s="359"/>
      <c r="BC27" s="359"/>
      <c r="BD27" s="359"/>
      <c r="BE27" s="359"/>
      <c r="BF27" s="359"/>
      <c r="BG27" s="359"/>
      <c r="BH27" s="359"/>
      <c r="BI27" s="359"/>
      <c r="BJ27" s="359"/>
      <c r="BK27" s="359"/>
      <c r="BL27" s="359"/>
      <c r="BM27" s="359"/>
      <c r="BN27" s="359"/>
      <c r="BO27" s="359"/>
      <c r="BP27" s="359"/>
      <c r="BQ27" s="359"/>
      <c r="BR27" s="359"/>
      <c r="BS27" s="359"/>
      <c r="BT27" s="359"/>
      <c r="BU27" s="359"/>
      <c r="BV27" s="359"/>
      <c r="BW27" s="359"/>
      <c r="BX27" s="359"/>
      <c r="BY27" s="359"/>
      <c r="BZ27" s="359"/>
      <c r="CA27" s="359"/>
      <c r="CB27" s="359"/>
      <c r="CC27" s="359"/>
      <c r="CD27" s="359"/>
      <c r="CE27" s="359"/>
      <c r="CF27" s="359"/>
      <c r="CG27" s="359"/>
      <c r="CH27" s="359"/>
      <c r="CI27" s="359"/>
      <c r="CJ27" s="359"/>
      <c r="CK27" s="359"/>
      <c r="CL27" s="359"/>
      <c r="CM27" s="359"/>
      <c r="CN27" s="359"/>
      <c r="CO27" s="359"/>
      <c r="CP27" s="359"/>
      <c r="CQ27" s="359"/>
      <c r="CR27" s="359"/>
      <c r="CS27" s="359"/>
      <c r="CT27" s="359"/>
      <c r="CU27" s="359"/>
      <c r="CV27" s="359"/>
      <c r="CW27" s="359"/>
      <c r="CX27" s="359"/>
      <c r="CY27" s="359"/>
      <c r="CZ27" s="359"/>
      <c r="DA27" s="359"/>
      <c r="DB27" s="359"/>
      <c r="DC27" s="359"/>
      <c r="DD27" s="359"/>
      <c r="DE27" s="359"/>
      <c r="DF27" s="359"/>
      <c r="DG27" s="359"/>
      <c r="DH27" s="359"/>
      <c r="DI27" s="359"/>
      <c r="DJ27" s="359"/>
      <c r="DK27" s="359"/>
      <c r="DL27" s="359"/>
      <c r="DM27" s="359"/>
      <c r="DN27" s="359"/>
      <c r="DO27" s="359"/>
      <c r="DP27" s="359"/>
      <c r="DQ27" s="359"/>
      <c r="DR27" s="359"/>
      <c r="DS27" s="359"/>
      <c r="DT27" s="359"/>
      <c r="DU27" s="359"/>
      <c r="DV27" s="359"/>
      <c r="DW27" s="359"/>
      <c r="DX27" s="359"/>
      <c r="DY27" s="359"/>
      <c r="DZ27" s="359"/>
      <c r="EA27" s="359"/>
      <c r="EB27" s="359"/>
      <c r="EC27" s="359"/>
      <c r="ED27" s="359"/>
      <c r="EE27" s="359"/>
      <c r="EF27" s="359"/>
      <c r="EG27" s="359"/>
      <c r="EH27" s="359"/>
      <c r="EI27" s="359"/>
      <c r="EJ27" s="359"/>
      <c r="EK27" s="359"/>
      <c r="EL27" s="359"/>
      <c r="EM27" s="359"/>
      <c r="EN27" s="359"/>
      <c r="EO27" s="359"/>
      <c r="EP27" s="359"/>
      <c r="EQ27" s="359"/>
      <c r="ER27" s="359"/>
      <c r="ES27" s="359"/>
      <c r="ET27" s="359"/>
      <c r="EU27" s="359"/>
      <c r="EV27" s="359"/>
      <c r="EW27" s="359"/>
      <c r="EX27" s="359"/>
      <c r="EY27" s="359"/>
      <c r="EZ27" s="359"/>
      <c r="FA27" s="359"/>
      <c r="FB27" s="359"/>
      <c r="FC27" s="359"/>
      <c r="FD27" s="359"/>
      <c r="FE27" s="359"/>
      <c r="FF27" s="359"/>
      <c r="FG27" s="359"/>
      <c r="FH27" s="359"/>
      <c r="FI27" s="359"/>
      <c r="FJ27" s="359"/>
      <c r="FK27" s="359"/>
      <c r="FL27" s="359"/>
      <c r="FM27" s="359"/>
      <c r="FN27" s="359"/>
      <c r="FO27" s="359"/>
      <c r="FP27" s="359"/>
      <c r="FQ27" s="359"/>
      <c r="FR27" s="359"/>
      <c r="FS27" s="359"/>
      <c r="FT27" s="359"/>
      <c r="FU27" s="359"/>
      <c r="FV27" s="359"/>
      <c r="FW27" s="359"/>
      <c r="FX27" s="359"/>
      <c r="FY27" s="359"/>
      <c r="FZ27" s="359"/>
      <c r="GA27" s="359"/>
      <c r="GB27" s="359"/>
    </row>
    <row r="28" spans="1:184" s="359" customFormat="1" ht="18" customHeight="1" thickBot="1" x14ac:dyDescent="0.25">
      <c r="A28" s="1347"/>
      <c r="B28" s="29"/>
      <c r="C28" s="1337">
        <v>247</v>
      </c>
      <c r="D28" s="24">
        <f>INDEX(Tabelle,$C28,2)</f>
        <v>0</v>
      </c>
      <c r="E28" s="1329"/>
      <c r="F28" s="1359" t="str">
        <f>IF(INDEX(Tabelle,$C28,22)="","",1)</f>
        <v/>
      </c>
      <c r="G28" s="1335" t="str">
        <f>IF(INDEX(Tabelle,$C28,1)="G","G","")</f>
        <v/>
      </c>
      <c r="H28" s="379">
        <f>IF(OR(INDEX(Tabelle,$C28,3)="",INDEX(Tabelle,$C28,3)=0.0001),"",INDEX(Tabelle,$C28,3)/10)</f>
        <v>0</v>
      </c>
      <c r="I28" s="524">
        <f>ROUND(IF(Art=1,INDEX(Tabelle,$C28,4),INDEX(Tabelle,$C28,5)),2)</f>
        <v>0</v>
      </c>
      <c r="J28" s="525">
        <f>ROUND(IF(Art=1,INDEX(Tabelle,$C28,8),INDEX(Tabelle,$C28,6)),0)</f>
        <v>0</v>
      </c>
      <c r="K28" s="524">
        <f>IF(Art=1,IF(OR(INDEX(Tabelle,$C28,9)="",INDEX(Tabelle,$C28,9)=0.0001),0,INDEX(Tabelle,$C28,9)),0)</f>
        <v>0</v>
      </c>
      <c r="L28" s="525">
        <f>IF(OR(INDEX(Tabelle,$C28,14)="",INDEX(Tabelle,$C28,14)=0.0001),0,INDEX(Tabelle,$C28,14))</f>
        <v>0</v>
      </c>
      <c r="M28" s="525">
        <f>IF(Art=1,ROUND(INDEX(Tabelle,$C28,17),0),0)</f>
        <v>0</v>
      </c>
      <c r="N28" s="526">
        <f>IF(OR(INDEX(Tabelle,$C28,12)="",INDEX(Tabelle,$C28,12)=0.0001),0,INDEX(Tabelle,$C28,12))</f>
        <v>0</v>
      </c>
      <c r="O28" s="527">
        <f>IF(G28="G",N28,0)</f>
        <v>0</v>
      </c>
      <c r="P28" s="525">
        <f>INDEX(Tabelle,$C28,13)</f>
        <v>0</v>
      </c>
      <c r="Q28" s="525">
        <f>INDEX(Tabelle,$C28,15)*INDEX(Tabelle,$C28,14)</f>
        <v>0</v>
      </c>
      <c r="R28" s="525">
        <f>INDEX(Tabelle,$C28,16)</f>
        <v>0</v>
      </c>
      <c r="S28" s="528">
        <f>INDEX(Tabelle,$C28,18)</f>
        <v>0</v>
      </c>
      <c r="T28" s="528">
        <f>INDEX(Tabelle,$C28,6)</f>
        <v>0</v>
      </c>
      <c r="U28" s="529">
        <f>INDEX(Tabelle,$C28,29)</f>
        <v>0</v>
      </c>
      <c r="V28" s="530" t="e">
        <f>IF(H28="",0,IF(TM_FM=2,B28,B28/H28*100))</f>
        <v>#DIV/0!</v>
      </c>
      <c r="W28" s="585">
        <f>IF(H28="",0,IF(TM_FM=1,B28,B28*H28/100))</f>
        <v>0</v>
      </c>
      <c r="X28" s="525">
        <f>IF(G28="G",W28,0)</f>
        <v>0</v>
      </c>
      <c r="Y28" s="532">
        <f>W28*I28</f>
        <v>0</v>
      </c>
      <c r="Z28" s="525">
        <f>IF(G28="G",I28*W28,0)</f>
        <v>0</v>
      </c>
      <c r="AA28" s="525">
        <f>W28*J28</f>
        <v>0</v>
      </c>
      <c r="AB28" s="524">
        <f>W28*K28</f>
        <v>0</v>
      </c>
      <c r="AC28" s="525">
        <f>+W28*L28</f>
        <v>0</v>
      </c>
      <c r="AD28" s="586">
        <f>+W28*M28</f>
        <v>0</v>
      </c>
      <c r="AE28" s="525">
        <f>IF(N28="-","k.A.",N28*$W28)</f>
        <v>0</v>
      </c>
      <c r="AF28" s="525">
        <f>IF(G28="G",N28*W28,0)</f>
        <v>0</v>
      </c>
      <c r="AG28" s="527">
        <f>+W28*P28</f>
        <v>0</v>
      </c>
      <c r="AH28" s="527">
        <f>+W28*Q28</f>
        <v>0</v>
      </c>
      <c r="AI28" s="525">
        <f>+W28*R28</f>
        <v>0</v>
      </c>
      <c r="AJ28" s="525">
        <f>W28*S28</f>
        <v>0</v>
      </c>
      <c r="AK28" s="525">
        <f>W28*T28</f>
        <v>0</v>
      </c>
      <c r="AL28" s="587" t="e">
        <f>IF(V28=0,0,V28*U28/100)</f>
        <v>#DIV/0!</v>
      </c>
      <c r="AM28" s="534" t="str">
        <f>IF(Tiere&gt;0,Tiere*V28,"")</f>
        <v/>
      </c>
      <c r="AN28" s="535" t="str">
        <f>IF(B28="","",IF(COUNTIF(H28:N28,0)&gt;0,"?",""))</f>
        <v/>
      </c>
      <c r="AO28" s="27"/>
    </row>
    <row r="29" spans="1:184" s="359" customFormat="1" ht="18.75" customHeight="1" thickBot="1" x14ac:dyDescent="0.25">
      <c r="A29" s="1347"/>
      <c r="B29" s="32"/>
      <c r="C29" s="1360">
        <v>37</v>
      </c>
      <c r="D29" s="25">
        <f>INDEX(Tabelle,$C29,2)</f>
        <v>0</v>
      </c>
      <c r="E29" s="1361"/>
      <c r="F29" s="1332" t="str">
        <f>IF(INDEX(Tabelle,$C29,22)="","",1)</f>
        <v/>
      </c>
      <c r="G29" s="1336" t="str">
        <f>IF(INDEX(Tabelle,$C29,1)="G","G","")</f>
        <v/>
      </c>
      <c r="H29" s="536" t="str">
        <f>IF(OR(INDEX(Tabelle,$C29,3)="",INDEX(Tabelle,$C29,3)=0.0001),"",INDEX(Tabelle,$C29,3)/10)</f>
        <v/>
      </c>
      <c r="I29" s="537">
        <f>ROUND(IF(Art=1,INDEX(Tabelle,$C29,4),INDEX(Tabelle,$C29,5)),2)</f>
        <v>0</v>
      </c>
      <c r="J29" s="538">
        <f>ROUND(IF(Art=1,INDEX(Tabelle,$C29,8),INDEX(Tabelle,$C29,6)),0)</f>
        <v>0</v>
      </c>
      <c r="K29" s="466">
        <f>IF(Art=1,IF(OR(INDEX(Tabelle,$C29,9)="",INDEX(Tabelle,$C29,9)=0.0001),0,INDEX(Tabelle,$C29,9)),0)</f>
        <v>0</v>
      </c>
      <c r="L29" s="538">
        <f>IF(OR(INDEX(Tabelle,$C29,14)="",INDEX(Tabelle,$C29,14)=0.0001),0,INDEX(Tabelle,$C29,14))</f>
        <v>0</v>
      </c>
      <c r="M29" s="538">
        <f>IF(Art=1,ROUND(INDEX(Tabelle,$C29,17),0),0)</f>
        <v>0</v>
      </c>
      <c r="N29" s="539">
        <f>IF(OR(INDEX(Tabelle,$C29,12)="",INDEX(Tabelle,$C29,12)=0.0001),0,INDEX(Tabelle,$C29,12))</f>
        <v>0</v>
      </c>
      <c r="O29" s="540">
        <f>IF(G29="G",N29,0)</f>
        <v>0</v>
      </c>
      <c r="P29" s="541">
        <f>INDEX(Tabelle,$C29,13)</f>
        <v>0</v>
      </c>
      <c r="Q29" s="541">
        <f>INDEX(Tabelle,$C29,15)*INDEX(Tabelle,$C29,14)</f>
        <v>0</v>
      </c>
      <c r="R29" s="541">
        <f>INDEX(Tabelle,$C29,16)</f>
        <v>0</v>
      </c>
      <c r="S29" s="542">
        <f>INDEX(Tabelle,$C29,18)</f>
        <v>0</v>
      </c>
      <c r="T29" s="542">
        <f>INDEX(Tabelle,$C29,6)</f>
        <v>0</v>
      </c>
      <c r="U29" s="539">
        <f>INDEX(Tabelle,$C29,29)</f>
        <v>0</v>
      </c>
      <c r="V29" s="543">
        <f>IF(H29="",0,IF(TM_FM=2,B29,B29/H29*100))</f>
        <v>0</v>
      </c>
      <c r="W29" s="531">
        <f>IF(H29="",0,IF(TM_FM=1,B29,B29*H29/100))</f>
        <v>0</v>
      </c>
      <c r="X29" s="525">
        <f>IF(G29="G",W29,0)</f>
        <v>0</v>
      </c>
      <c r="Y29" s="544">
        <f>W29*I29</f>
        <v>0</v>
      </c>
      <c r="Z29" s="525">
        <f>IF(G29="G",I29*W29,0)</f>
        <v>0</v>
      </c>
      <c r="AA29" s="541">
        <f>W29*J29</f>
        <v>0</v>
      </c>
      <c r="AB29" s="545">
        <f>W29*K29</f>
        <v>0</v>
      </c>
      <c r="AC29" s="541">
        <f>+W29*L29</f>
        <v>0</v>
      </c>
      <c r="AD29" s="546">
        <f>+W29*M29</f>
        <v>0</v>
      </c>
      <c r="AE29" s="546">
        <f>IF(N29="-","k.A.",N29*$W29)</f>
        <v>0</v>
      </c>
      <c r="AF29" s="547">
        <f>IF(G29="G",N29*W29,0)</f>
        <v>0</v>
      </c>
      <c r="AG29" s="546">
        <f>+W29*P29</f>
        <v>0</v>
      </c>
      <c r="AH29" s="546">
        <f>+W29*Q29</f>
        <v>0</v>
      </c>
      <c r="AI29" s="541">
        <f>+W29*R29</f>
        <v>0</v>
      </c>
      <c r="AJ29" s="541">
        <f>W29*S29</f>
        <v>0</v>
      </c>
      <c r="AK29" s="538">
        <f>W29*T29</f>
        <v>0</v>
      </c>
      <c r="AL29" s="533">
        <f>IF(V29=0,0,V29*U29/100)</f>
        <v>0</v>
      </c>
      <c r="AM29" s="548" t="str">
        <f>IF(Tiere&gt;0,Tiere*V29,"")</f>
        <v/>
      </c>
      <c r="AN29" s="535" t="str">
        <f>IF(B29="","",IF(COUNTIF(H29:N29,0)&gt;0,"?",""))</f>
        <v/>
      </c>
      <c r="AO29" s="27"/>
    </row>
    <row r="30" spans="1:184" s="359" customFormat="1" ht="18" customHeight="1" thickBot="1" x14ac:dyDescent="0.25">
      <c r="A30" s="1347"/>
      <c r="B30" s="31"/>
      <c r="C30" s="1362">
        <v>275</v>
      </c>
      <c r="D30" s="25">
        <f>INDEX(Tabelle,$C30,2)</f>
        <v>0</v>
      </c>
      <c r="E30" s="1361"/>
      <c r="F30" s="1363" t="str">
        <f>IF(INDEX(Tabelle,$C30,22)="","",1)</f>
        <v/>
      </c>
      <c r="G30" s="1336" t="str">
        <f>IF(INDEX(Tabelle,$C30,1)="G","G","")</f>
        <v/>
      </c>
      <c r="H30" s="536">
        <f>IF(OR(INDEX(Tabelle,$C30,3)="",INDEX(Tabelle,$C30,3)=0.0001),"",INDEX(Tabelle,$C30,3)/10)</f>
        <v>0</v>
      </c>
      <c r="I30" s="537">
        <f>ROUND(IF(Art=1,INDEX(Tabelle,$C30,4),INDEX(Tabelle,$C30,5)),2)</f>
        <v>0</v>
      </c>
      <c r="J30" s="538">
        <f>ROUND(IF(Art=1,INDEX(Tabelle,$C30,8),INDEX(Tabelle,$C30,6)),0)</f>
        <v>0</v>
      </c>
      <c r="K30" s="466">
        <f>IF(Art=1,IF(OR(INDEX(Tabelle,$C30,9)="",INDEX(Tabelle,$C30,9)=0.0001),0,INDEX(Tabelle,$C30,9)),0)</f>
        <v>0</v>
      </c>
      <c r="L30" s="538">
        <f>IF(OR(INDEX(Tabelle,$C30,14)="",INDEX(Tabelle,$C30,14)=0.0001),0,INDEX(Tabelle,$C30,14))</f>
        <v>0</v>
      </c>
      <c r="M30" s="538">
        <f>IF(Art=1,ROUND(INDEX(Tabelle,$C30,17),0),0)</f>
        <v>0</v>
      </c>
      <c r="N30" s="539">
        <f>IF(OR(INDEX(Tabelle,$C30,12)="",INDEX(Tabelle,$C30,12)=0.0001),0,INDEX(Tabelle,$C30,12))</f>
        <v>0</v>
      </c>
      <c r="O30" s="540">
        <f>IF(G30="G",N30,0)</f>
        <v>0</v>
      </c>
      <c r="P30" s="541">
        <f>INDEX(Tabelle,$C30,13)</f>
        <v>0</v>
      </c>
      <c r="Q30" s="541">
        <f>INDEX(Tabelle,$C30,15)*INDEX(Tabelle,$C30,14)</f>
        <v>0</v>
      </c>
      <c r="R30" s="541">
        <f>INDEX(Tabelle,$C30,16)</f>
        <v>0</v>
      </c>
      <c r="S30" s="542">
        <f>INDEX(Tabelle,$C30,18)</f>
        <v>0</v>
      </c>
      <c r="T30" s="542">
        <f>INDEX(Tabelle,$C30,6)</f>
        <v>0</v>
      </c>
      <c r="U30" s="539">
        <f>INDEX(Tabelle,$C30,29)</f>
        <v>0</v>
      </c>
      <c r="V30" s="588" t="e">
        <f>IF(H30="",0,IF(TM_FM=2,B30,B30/H30*100))</f>
        <v>#DIV/0!</v>
      </c>
      <c r="W30" s="589">
        <f>IF(H30="",0,IF(TM_FM=1,B30,B30*H30/100))</f>
        <v>0</v>
      </c>
      <c r="X30" s="525">
        <f>IF(G30="G",W30,0)</f>
        <v>0</v>
      </c>
      <c r="Y30" s="590">
        <f>W30*I30</f>
        <v>0</v>
      </c>
      <c r="Z30" s="525">
        <f>IF(G30="G",I30*W30,0)</f>
        <v>0</v>
      </c>
      <c r="AA30" s="591">
        <f>W30*J30</f>
        <v>0</v>
      </c>
      <c r="AB30" s="592">
        <f>W30*K30</f>
        <v>0</v>
      </c>
      <c r="AC30" s="591">
        <f>+W30*L30</f>
        <v>0</v>
      </c>
      <c r="AD30" s="593">
        <f>+W30*M30</f>
        <v>0</v>
      </c>
      <c r="AE30" s="541">
        <f>IF(N30="-","k.A.",N30*$W30)</f>
        <v>0</v>
      </c>
      <c r="AF30" s="547">
        <f>IF(G30="G",N30*W30,0)</f>
        <v>0</v>
      </c>
      <c r="AG30" s="546">
        <f>+W30*P30</f>
        <v>0</v>
      </c>
      <c r="AH30" s="594">
        <f>+W30*Q30</f>
        <v>0</v>
      </c>
      <c r="AI30" s="591">
        <f>+W30*R30</f>
        <v>0</v>
      </c>
      <c r="AJ30" s="591">
        <f>W30*S30</f>
        <v>0</v>
      </c>
      <c r="AK30" s="591">
        <f>W30*T30</f>
        <v>0</v>
      </c>
      <c r="AL30" s="533" t="e">
        <f>IF(V30=0,0,V30*U30/100)</f>
        <v>#DIV/0!</v>
      </c>
      <c r="AM30" s="548" t="str">
        <f>IF(Tiere&gt;0,Tiere*V30,"")</f>
        <v/>
      </c>
      <c r="AN30" s="535" t="str">
        <f>IF(B30="","",IF(COUNTIF(H30:N30,0)&gt;0,"?",""))</f>
        <v/>
      </c>
      <c r="AO30" s="27"/>
    </row>
    <row r="31" spans="1:184" s="359" customFormat="1" ht="18" customHeight="1" thickBot="1" x14ac:dyDescent="0.25">
      <c r="A31" s="1347"/>
      <c r="B31" s="32"/>
      <c r="C31" s="1360">
        <v>273</v>
      </c>
      <c r="D31" s="25">
        <f>INDEX(Tabelle,$C31,2)</f>
        <v>0</v>
      </c>
      <c r="E31" s="1361"/>
      <c r="F31" s="1332" t="str">
        <f>IF(INDEX(Tabelle,$C31,22)="","",1)</f>
        <v/>
      </c>
      <c r="G31" s="1336" t="str">
        <f>IF(INDEX(Tabelle,$C31,1)="G","G","")</f>
        <v/>
      </c>
      <c r="H31" s="536">
        <f>IF(OR(INDEX(Tabelle,$C31,3)="",INDEX(Tabelle,$C31,3)=0.0001),"",INDEX(Tabelle,$C31,3)/10)</f>
        <v>0</v>
      </c>
      <c r="I31" s="537">
        <f>ROUND(IF(Art=1,INDEX(Tabelle,$C31,4),INDEX(Tabelle,$C31,5)),2)</f>
        <v>0</v>
      </c>
      <c r="J31" s="538">
        <f>ROUND(IF(Art=1,INDEX(Tabelle,$C31,8),INDEX(Tabelle,$C31,6)),0)</f>
        <v>0</v>
      </c>
      <c r="K31" s="466">
        <f>IF(Art=1,IF(OR(INDEX(Tabelle,$C31,9)="",INDEX(Tabelle,$C31,9)=0.0001),0,INDEX(Tabelle,$C31,9)),0)</f>
        <v>0</v>
      </c>
      <c r="L31" s="538">
        <f>IF(OR(INDEX(Tabelle,$C31,14)="",INDEX(Tabelle,$C31,14)=0.0001),0,INDEX(Tabelle,$C31,14))</f>
        <v>0</v>
      </c>
      <c r="M31" s="538">
        <f>IF(Art=1,ROUND(INDEX(Tabelle,$C31,17),0),0)</f>
        <v>0</v>
      </c>
      <c r="N31" s="539">
        <f>IF(OR(INDEX(Tabelle,$C31,12)="",INDEX(Tabelle,$C31,12)=0.0001),0,INDEX(Tabelle,$C31,12))</f>
        <v>0</v>
      </c>
      <c r="O31" s="540">
        <f>IF(G31="G",N31,0)</f>
        <v>0</v>
      </c>
      <c r="P31" s="541">
        <f>INDEX(Tabelle,$C31,13)</f>
        <v>0</v>
      </c>
      <c r="Q31" s="541">
        <f>INDEX(Tabelle,$C31,15)*INDEX(Tabelle,$C31,14)</f>
        <v>0</v>
      </c>
      <c r="R31" s="541">
        <f>INDEX(Tabelle,$C31,16)</f>
        <v>0</v>
      </c>
      <c r="S31" s="549">
        <f>INDEX(Tabelle,$C31,18)</f>
        <v>0</v>
      </c>
      <c r="T31" s="549">
        <f>INDEX(Tabelle,$C31,6)</f>
        <v>0</v>
      </c>
      <c r="U31" s="550">
        <f>INDEX(Tabelle,$C31,29)</f>
        <v>0</v>
      </c>
      <c r="V31" s="543" t="e">
        <f>IF(H31="",0,IF(TM_FM=2,B31,B31/H31*100))</f>
        <v>#DIV/0!</v>
      </c>
      <c r="W31" s="531">
        <f>IF(H31="",0,IF(TM_FM=1,B31,B31*H31/100))</f>
        <v>0</v>
      </c>
      <c r="X31" s="525">
        <f>IF(G31="G",W31,0)</f>
        <v>0</v>
      </c>
      <c r="Y31" s="544">
        <f>W31*I31</f>
        <v>0</v>
      </c>
      <c r="Z31" s="525">
        <f>IF(G31="G",I31*W31,0)</f>
        <v>0</v>
      </c>
      <c r="AA31" s="541">
        <f>W31*J31</f>
        <v>0</v>
      </c>
      <c r="AB31" s="545">
        <f>W31*K31</f>
        <v>0</v>
      </c>
      <c r="AC31" s="541">
        <f>+W31*L31</f>
        <v>0</v>
      </c>
      <c r="AD31" s="595">
        <f>+W31*M31</f>
        <v>0</v>
      </c>
      <c r="AE31" s="541">
        <f>IF(N31="-","k.A.",N31*$W31)</f>
        <v>0</v>
      </c>
      <c r="AF31" s="547">
        <f>IF(G31="G",N31*W31,0)</f>
        <v>0</v>
      </c>
      <c r="AG31" s="546">
        <f>+W31*P31</f>
        <v>0</v>
      </c>
      <c r="AH31" s="546">
        <f>+W31*Q31</f>
        <v>0</v>
      </c>
      <c r="AI31" s="541">
        <f>+W31*R31</f>
        <v>0</v>
      </c>
      <c r="AJ31" s="541">
        <f>W31*S31</f>
        <v>0</v>
      </c>
      <c r="AK31" s="538">
        <f>W31*T31</f>
        <v>0</v>
      </c>
      <c r="AL31" s="533" t="e">
        <f>IF(V31=0,0,V31*U31/100)</f>
        <v>#DIV/0!</v>
      </c>
      <c r="AM31" s="548" t="str">
        <f>IF(Tiere&gt;0,Tiere*V31,"")</f>
        <v/>
      </c>
      <c r="AN31" s="535" t="str">
        <f>IF(B31="","",IF(COUNTIF(H31:N31,0)&gt;0,"?",""))</f>
        <v/>
      </c>
      <c r="AO31" s="27"/>
    </row>
    <row r="32" spans="1:184" s="359" customFormat="1" ht="18" customHeight="1" thickBot="1" x14ac:dyDescent="0.25">
      <c r="A32" s="1347"/>
      <c r="B32" s="30"/>
      <c r="C32" s="1339">
        <v>3</v>
      </c>
      <c r="D32" s="26" t="s">
        <v>525</v>
      </c>
      <c r="E32" s="1333"/>
      <c r="F32" s="1334"/>
      <c r="G32" s="1364"/>
      <c r="H32" s="551">
        <v>1E-4</v>
      </c>
      <c r="I32" s="552">
        <v>1E-4</v>
      </c>
      <c r="J32" s="553">
        <v>1E-4</v>
      </c>
      <c r="K32" s="552">
        <v>1E-4</v>
      </c>
      <c r="L32" s="553">
        <v>1E-4</v>
      </c>
      <c r="M32" s="553">
        <v>1E-4</v>
      </c>
      <c r="N32" s="554">
        <v>1E-4</v>
      </c>
      <c r="O32" s="555">
        <v>0</v>
      </c>
      <c r="P32" s="553">
        <v>0</v>
      </c>
      <c r="Q32" s="553">
        <v>0</v>
      </c>
      <c r="R32" s="553">
        <v>0</v>
      </c>
      <c r="S32" s="556">
        <v>0</v>
      </c>
      <c r="T32" s="556">
        <v>0</v>
      </c>
      <c r="U32" s="554">
        <f>INDEX(Tabelle,$C32,29)</f>
        <v>0</v>
      </c>
      <c r="V32" s="557">
        <f>B32</f>
        <v>0</v>
      </c>
      <c r="W32" s="558">
        <f>V32*H32</f>
        <v>0</v>
      </c>
      <c r="X32" s="525">
        <f>IF(G32="G",W32,0)</f>
        <v>0</v>
      </c>
      <c r="Y32" s="559">
        <f>W32*I32</f>
        <v>0</v>
      </c>
      <c r="Z32" s="525">
        <f>IF(G32="G",I32*W32,0)</f>
        <v>0</v>
      </c>
      <c r="AA32" s="553">
        <f>W32*J32</f>
        <v>0</v>
      </c>
      <c r="AB32" s="552">
        <f>W32*K32</f>
        <v>0</v>
      </c>
      <c r="AC32" s="553">
        <f>+W32*L32</f>
        <v>0</v>
      </c>
      <c r="AD32" s="596">
        <f>+W32*M32</f>
        <v>0</v>
      </c>
      <c r="AE32" s="553">
        <f>IF(N32="-","k.A.",N32*$W32)</f>
        <v>0</v>
      </c>
      <c r="AF32" s="553">
        <f>IF(G32="G",N32*W32,0)</f>
        <v>0</v>
      </c>
      <c r="AG32" s="546">
        <f>+W32*O32</f>
        <v>0</v>
      </c>
      <c r="AH32" s="560">
        <f>+W32*Q32</f>
        <v>0</v>
      </c>
      <c r="AI32" s="553">
        <f>+W32*R32</f>
        <v>0</v>
      </c>
      <c r="AJ32" s="553">
        <f>W32*S32</f>
        <v>0</v>
      </c>
      <c r="AK32" s="553">
        <f>W32*T32</f>
        <v>0</v>
      </c>
      <c r="AL32" s="597">
        <f>IF(V32=0,0,V32*U32/100)</f>
        <v>0</v>
      </c>
      <c r="AM32" s="561" t="str">
        <f>IF(Tiere&gt;0,Tiere*V32,"")</f>
        <v/>
      </c>
      <c r="AN32" s="535"/>
      <c r="AO32" s="27"/>
    </row>
    <row r="33" spans="1:184" s="359" customFormat="1" ht="18" customHeight="1" thickBot="1" x14ac:dyDescent="0.25">
      <c r="A33" s="1347"/>
      <c r="B33" s="1356"/>
      <c r="C33" s="1356"/>
      <c r="D33" s="1356"/>
      <c r="E33" s="1356"/>
      <c r="F33" s="1356"/>
      <c r="G33" s="1356"/>
      <c r="H33" s="575"/>
      <c r="I33" s="575"/>
      <c r="J33" s="575"/>
      <c r="K33" s="575"/>
      <c r="L33" s="575"/>
      <c r="M33" s="575"/>
      <c r="N33" s="565"/>
      <c r="O33" s="566"/>
      <c r="P33" s="566"/>
      <c r="Q33" s="566"/>
      <c r="R33" s="566"/>
      <c r="S33" s="566"/>
      <c r="T33" s="566"/>
      <c r="U33" s="566"/>
      <c r="V33" s="567" t="e">
        <f>SUM(V28:V32,V20:V24)</f>
        <v>#DIV/0!</v>
      </c>
      <c r="W33" s="568">
        <f>SUM(W28:W32,W20:W24)</f>
        <v>0</v>
      </c>
      <c r="X33" s="569"/>
      <c r="Y33" s="498">
        <f>SUM(Y28:Y32,Y20:Y24)</f>
        <v>0</v>
      </c>
      <c r="Z33" s="498"/>
      <c r="AA33" s="570">
        <f>SUM(AA28:AA32,AA20:AA24)</f>
        <v>0</v>
      </c>
      <c r="AB33" s="385">
        <f>SUM(AB28:AB32,AB20:AB24)</f>
        <v>0</v>
      </c>
      <c r="AC33" s="570">
        <f>SUM(AC28:AC32,AC20:AC24)</f>
        <v>0</v>
      </c>
      <c r="AD33" s="571">
        <f>SUM(AD28:AD32,AD20:AD24)</f>
        <v>0</v>
      </c>
      <c r="AE33" s="570">
        <f>SUM(AE28:AE32,AE20:AE24)</f>
        <v>0</v>
      </c>
      <c r="AF33" s="570">
        <f>SUM(AF28:AF32,AF20:AF24)</f>
        <v>0</v>
      </c>
      <c r="AG33" s="570">
        <f>SUM(AG28:AG32,AG20:AG24)</f>
        <v>0</v>
      </c>
      <c r="AH33" s="570">
        <f>SUM(AH28:AH32,AH20:AH24)</f>
        <v>0</v>
      </c>
      <c r="AI33" s="570">
        <f>SUM(AI28:AI32,AI20:AI24)</f>
        <v>0</v>
      </c>
      <c r="AJ33" s="570">
        <f>SUM(AJ28:AJ32,AJ20:AJ24)</f>
        <v>0</v>
      </c>
      <c r="AK33" s="570">
        <f>SUM(AK28:AK32,AK20:AK24)</f>
        <v>0</v>
      </c>
      <c r="AL33" s="572" t="e">
        <f>SUM(AL28:AL32,AL20:AL24)</f>
        <v>#DIV/0!</v>
      </c>
      <c r="AM33" s="573">
        <f>SUM(AM28:AM32,AM20:AM24)</f>
        <v>0</v>
      </c>
      <c r="AN33" s="535"/>
      <c r="AO33" s="27"/>
    </row>
    <row r="34" spans="1:184" s="359" customFormat="1" ht="18" customHeight="1" thickBot="1" x14ac:dyDescent="0.25">
      <c r="A34" s="1347"/>
      <c r="B34" s="1356"/>
      <c r="C34" s="1356"/>
      <c r="D34" s="1356"/>
      <c r="E34" s="1356"/>
      <c r="F34" s="1356"/>
      <c r="G34" s="1356"/>
      <c r="H34" s="575"/>
      <c r="I34" s="575"/>
      <c r="J34" s="575"/>
      <c r="K34" s="575"/>
      <c r="L34" s="575"/>
      <c r="M34" s="575"/>
      <c r="N34" s="575"/>
      <c r="O34" s="575"/>
      <c r="P34" s="575"/>
      <c r="Q34" s="575"/>
      <c r="R34" s="575"/>
      <c r="S34" s="575"/>
      <c r="T34" s="575"/>
      <c r="U34" s="575"/>
      <c r="V34" s="577" t="s">
        <v>146</v>
      </c>
      <c r="W34" s="578" t="str">
        <f>IF(W33=0,"",TM_Grundration/V33)</f>
        <v/>
      </c>
      <c r="X34" s="579"/>
      <c r="Y34" s="580" t="str">
        <f>IF($W$33&gt;0,Y33/$W$33,"")</f>
        <v/>
      </c>
      <c r="Z34" s="580"/>
      <c r="AA34" s="598" t="str">
        <f t="shared" ref="AA34:AF34" si="3">IF($W$33&gt;0,AA33/$W$33,"")</f>
        <v/>
      </c>
      <c r="AB34" s="599" t="str">
        <f t="shared" si="3"/>
        <v/>
      </c>
      <c r="AC34" s="598" t="str">
        <f t="shared" si="3"/>
        <v/>
      </c>
      <c r="AD34" s="581" t="str">
        <f t="shared" si="3"/>
        <v/>
      </c>
      <c r="AE34" s="598" t="str">
        <f t="shared" si="3"/>
        <v/>
      </c>
      <c r="AF34" s="598" t="str">
        <f t="shared" si="3"/>
        <v/>
      </c>
      <c r="AG34" s="598" t="str">
        <f>IF($W$33&gt;0,AG33/$W$33,"")</f>
        <v/>
      </c>
      <c r="AH34" s="598" t="str">
        <f>IF($W$33&gt;0,AH33/$W$33,"")</f>
        <v/>
      </c>
      <c r="AI34" s="598" t="str">
        <f>IF($W$33&gt;0,AI33/$W$33,"")</f>
        <v/>
      </c>
      <c r="AJ34" s="598" t="str">
        <f>IF($W$33&gt;0,AJ33/$W$33,"")</f>
        <v/>
      </c>
      <c r="AK34" s="598" t="str">
        <f>IF($W$33&gt;0,AK33/$W$33,"")</f>
        <v/>
      </c>
      <c r="AL34" s="600"/>
      <c r="AM34" s="600"/>
      <c r="AN34" s="535"/>
      <c r="AO34" s="27"/>
    </row>
    <row r="35" spans="1:184" s="359" customFormat="1" ht="18" customHeight="1" thickBot="1" x14ac:dyDescent="0.25">
      <c r="A35" s="1353"/>
      <c r="B35" s="1354"/>
      <c r="C35" s="1355"/>
      <c r="D35" s="1431" t="s">
        <v>279</v>
      </c>
      <c r="E35" s="1432"/>
      <c r="F35" s="1432"/>
      <c r="G35" s="1433"/>
      <c r="H35" s="601"/>
      <c r="I35" s="601"/>
      <c r="J35" s="396"/>
      <c r="K35" s="396"/>
      <c r="L35" s="575"/>
      <c r="M35" s="575"/>
      <c r="N35" s="576"/>
      <c r="O35" s="491"/>
      <c r="P35" s="575"/>
      <c r="Q35" s="575"/>
      <c r="R35" s="575"/>
      <c r="S35" s="575"/>
      <c r="T35" s="575"/>
      <c r="U35" s="575"/>
      <c r="V35" s="396"/>
      <c r="W35" s="584"/>
      <c r="X35" s="584"/>
      <c r="Y35" s="602">
        <f>IF(Y12=0,0,(Y33-Y14)/Y12)</f>
        <v>0</v>
      </c>
      <c r="Z35" s="603"/>
      <c r="AA35" s="604">
        <f>IF(AA12=0,0,(AA33-AA14)/AA12)</f>
        <v>0</v>
      </c>
      <c r="AB35" s="491" t="s">
        <v>28</v>
      </c>
      <c r="AC35" s="600" t="str">
        <f>+IF(Y33=0,"",AC33/$V33*0.001)</f>
        <v/>
      </c>
      <c r="AD35" s="575" t="e">
        <f>IF(V33=0,"",SUM(AD26:AD32)/V33)</f>
        <v>#DIV/0!</v>
      </c>
      <c r="AE35" s="600" t="e">
        <f>IF(OR(AE33="k.A.",V33=0),"",+AE33/$V33*0.001)</f>
        <v>#DIV/0!</v>
      </c>
      <c r="AF35" s="600" t="e">
        <f>IF(OR(AF33="k.A.",V33=0),"",+AF33/$V33*0.001)</f>
        <v>#DIV/0!</v>
      </c>
      <c r="AG35" s="600"/>
      <c r="AH35" s="600" t="e">
        <f>+IF(V33=0,"",AH34/$V33*0.001)</f>
        <v>#DIV/0!</v>
      </c>
      <c r="AI35" s="600" t="str">
        <f>+IF(AA33=0,"",AI34/$V33*0.001)</f>
        <v/>
      </c>
      <c r="AJ35" s="600" t="str">
        <f>+IF(AA33=0,"",AJ34/$V33*0.001)</f>
        <v/>
      </c>
      <c r="AK35" s="600" t="str">
        <f>+IF(AB33=0,"",AK34/$V33*0.001)</f>
        <v/>
      </c>
      <c r="AL35" s="600"/>
      <c r="AM35" s="600"/>
      <c r="AN35" s="583"/>
      <c r="AO35" s="27"/>
    </row>
    <row r="36" spans="1:184" s="358" customFormat="1" ht="5.25" customHeight="1" thickBot="1" x14ac:dyDescent="0.25">
      <c r="A36" s="1340"/>
      <c r="B36" s="1348"/>
      <c r="C36" s="1348"/>
      <c r="D36" s="1434"/>
      <c r="E36" s="1435"/>
      <c r="F36" s="1435"/>
      <c r="G36" s="1436"/>
      <c r="H36" s="1352"/>
      <c r="I36" s="1352"/>
      <c r="J36" s="1352"/>
      <c r="K36" s="396"/>
      <c r="L36" s="575"/>
      <c r="M36" s="575"/>
      <c r="N36" s="576"/>
      <c r="O36" s="491"/>
      <c r="P36" s="575"/>
      <c r="Q36" s="575"/>
      <c r="R36" s="575"/>
      <c r="S36" s="575"/>
      <c r="T36" s="575"/>
      <c r="U36" s="575"/>
      <c r="V36" s="1352"/>
      <c r="W36" s="1358"/>
      <c r="X36" s="1358"/>
      <c r="Y36" s="1352"/>
      <c r="Z36" s="1352"/>
      <c r="AA36" s="1352"/>
      <c r="AB36" s="1348"/>
      <c r="AC36" s="1357"/>
      <c r="AD36" s="1357"/>
      <c r="AE36" s="1348"/>
      <c r="AF36" s="1348"/>
      <c r="AG36" s="1348"/>
      <c r="AH36" s="1357"/>
      <c r="AI36" s="1357"/>
      <c r="AJ36" s="1348"/>
      <c r="AK36" s="1348"/>
      <c r="AL36" s="1348"/>
      <c r="AM36" s="1348"/>
      <c r="AN36" s="430"/>
      <c r="AP36" s="359"/>
      <c r="AQ36" s="359"/>
      <c r="AR36" s="359"/>
      <c r="AS36" s="359"/>
      <c r="AT36" s="359"/>
      <c r="AU36" s="359"/>
      <c r="AV36" s="359"/>
      <c r="AW36" s="359"/>
      <c r="AX36" s="359"/>
      <c r="AY36" s="359"/>
      <c r="AZ36" s="359"/>
      <c r="BA36" s="359"/>
      <c r="BB36" s="359"/>
      <c r="BC36" s="359"/>
      <c r="BD36" s="359"/>
      <c r="BE36" s="359"/>
      <c r="BF36" s="359"/>
      <c r="BG36" s="359"/>
      <c r="BH36" s="359"/>
      <c r="BI36" s="359"/>
      <c r="BJ36" s="359"/>
      <c r="BK36" s="359"/>
      <c r="BL36" s="359"/>
      <c r="BM36" s="359"/>
      <c r="BN36" s="359"/>
      <c r="BO36" s="359"/>
      <c r="BP36" s="359"/>
      <c r="BQ36" s="359"/>
      <c r="BR36" s="359"/>
      <c r="BS36" s="359"/>
      <c r="BT36" s="359"/>
      <c r="BU36" s="359"/>
      <c r="BV36" s="359"/>
      <c r="BW36" s="359"/>
      <c r="BX36" s="359"/>
      <c r="BY36" s="359"/>
      <c r="BZ36" s="359"/>
      <c r="CA36" s="359"/>
      <c r="CB36" s="359"/>
      <c r="CC36" s="359"/>
      <c r="CD36" s="359"/>
      <c r="CE36" s="359"/>
      <c r="CF36" s="359"/>
      <c r="CG36" s="359"/>
      <c r="CH36" s="359"/>
      <c r="CI36" s="359"/>
      <c r="CJ36" s="359"/>
      <c r="CK36" s="359"/>
      <c r="CL36" s="359"/>
      <c r="CM36" s="359"/>
      <c r="CN36" s="359"/>
      <c r="CO36" s="359"/>
      <c r="CP36" s="359"/>
      <c r="CQ36" s="359"/>
      <c r="CR36" s="359"/>
      <c r="CS36" s="359"/>
      <c r="CT36" s="359"/>
      <c r="CU36" s="359"/>
      <c r="CV36" s="359"/>
      <c r="CW36" s="359"/>
      <c r="CX36" s="359"/>
      <c r="CY36" s="359"/>
      <c r="CZ36" s="359"/>
      <c r="DA36" s="359"/>
      <c r="DB36" s="359"/>
      <c r="DC36" s="359"/>
      <c r="DD36" s="359"/>
      <c r="DE36" s="359"/>
      <c r="DF36" s="359"/>
      <c r="DG36" s="359"/>
      <c r="DH36" s="359"/>
      <c r="DI36" s="359"/>
      <c r="DJ36" s="359"/>
      <c r="DK36" s="359"/>
      <c r="DL36" s="359"/>
      <c r="DM36" s="359"/>
      <c r="DN36" s="359"/>
      <c r="DO36" s="359"/>
      <c r="DP36" s="359"/>
      <c r="DQ36" s="359"/>
      <c r="DR36" s="359"/>
      <c r="DS36" s="359"/>
      <c r="DT36" s="359"/>
      <c r="DU36" s="359"/>
      <c r="DV36" s="359"/>
      <c r="DW36" s="359"/>
      <c r="DX36" s="359"/>
      <c r="DY36" s="359"/>
      <c r="DZ36" s="359"/>
      <c r="EA36" s="359"/>
      <c r="EB36" s="359"/>
      <c r="EC36" s="359"/>
      <c r="ED36" s="359"/>
      <c r="EE36" s="359"/>
      <c r="EF36" s="359"/>
      <c r="EG36" s="359"/>
      <c r="EH36" s="359"/>
      <c r="EI36" s="359"/>
      <c r="EJ36" s="359"/>
      <c r="EK36" s="359"/>
      <c r="EL36" s="359"/>
      <c r="EM36" s="359"/>
      <c r="EN36" s="359"/>
      <c r="EO36" s="359"/>
      <c r="EP36" s="359"/>
      <c r="EQ36" s="359"/>
      <c r="ER36" s="359"/>
      <c r="ES36" s="359"/>
      <c r="ET36" s="359"/>
      <c r="EU36" s="359"/>
      <c r="EV36" s="359"/>
      <c r="EW36" s="359"/>
      <c r="EX36" s="359"/>
      <c r="EY36" s="359"/>
      <c r="EZ36" s="359"/>
      <c r="FA36" s="359"/>
      <c r="FB36" s="359"/>
      <c r="FC36" s="359"/>
      <c r="FD36" s="359"/>
      <c r="FE36" s="359"/>
      <c r="FF36" s="359"/>
      <c r="FG36" s="359"/>
      <c r="FH36" s="359"/>
      <c r="FI36" s="359"/>
      <c r="FJ36" s="359"/>
      <c r="FK36" s="359"/>
      <c r="FL36" s="359"/>
      <c r="FM36" s="359"/>
      <c r="FN36" s="359"/>
      <c r="FO36" s="359"/>
      <c r="FP36" s="359"/>
      <c r="FQ36" s="359"/>
      <c r="FR36" s="359"/>
      <c r="FS36" s="359"/>
      <c r="FT36" s="359"/>
      <c r="FU36" s="359"/>
      <c r="FV36" s="359"/>
      <c r="FW36" s="359"/>
      <c r="FX36" s="359"/>
      <c r="FY36" s="359"/>
      <c r="FZ36" s="359"/>
      <c r="GA36" s="359"/>
      <c r="GB36" s="359"/>
    </row>
    <row r="37" spans="1:184" s="359" customFormat="1" ht="18.75" customHeight="1" thickBot="1" x14ac:dyDescent="0.25">
      <c r="A37" s="1347"/>
      <c r="B37" s="29"/>
      <c r="C37" s="1337">
        <v>47</v>
      </c>
      <c r="D37" s="313">
        <f>INDEX(Tabelle,$C37,2)</f>
        <v>0</v>
      </c>
      <c r="E37" s="1329"/>
      <c r="F37" s="1330" t="str">
        <f>IF(INDEX(Tabelle,$C37,22)="","",1)</f>
        <v/>
      </c>
      <c r="G37" s="1335" t="str">
        <f>IF(INDEX(Tabelle,$C37,1)="G","G","")</f>
        <v/>
      </c>
      <c r="H37" s="379" t="str">
        <f>IF(OR(INDEX(Tabelle,$C37,3)="",INDEX(Tabelle,$C37,3)=0.0001),"",INDEX(Tabelle,$C37,3)/10)</f>
        <v/>
      </c>
      <c r="I37" s="524">
        <f>ROUND(IF(Art=1,INDEX(Tabelle,$C37,4),INDEX(Tabelle,$C37,5)),2)</f>
        <v>0</v>
      </c>
      <c r="J37" s="525">
        <f>ROUND(IF(Art=1,INDEX(Tabelle,$C37,8),INDEX(Tabelle,$C37,6)),0)</f>
        <v>0</v>
      </c>
      <c r="K37" s="605">
        <f>IF(Art=1,IF(OR(INDEX(Tabelle,$C37,9)="",INDEX(Tabelle,$C37,9)=0.0001),0,INDEX(Tabelle,$C37,9)),0)</f>
        <v>0</v>
      </c>
      <c r="L37" s="525">
        <f>IF(OR(INDEX(Tabelle,$C37,14)="",INDEX(Tabelle,$C37,14)=0.0001),0,INDEX(Tabelle,$C37,14))</f>
        <v>0</v>
      </c>
      <c r="M37" s="525">
        <f>IF(Art=1,ROUND(INDEX(Tabelle,$C37,17),0),0)</f>
        <v>0</v>
      </c>
      <c r="N37" s="526">
        <f>IF(OR(INDEX(Tabelle,$C37,12)="",INDEX(Tabelle,$C37,12)=0.0001),0,INDEX(Tabelle,$C37,12))</f>
        <v>0</v>
      </c>
      <c r="O37" s="527">
        <f>IF(G37="G",N37,0)</f>
        <v>0</v>
      </c>
      <c r="P37" s="525">
        <f>INDEX(Tabelle,$C37,13)</f>
        <v>0</v>
      </c>
      <c r="Q37" s="525">
        <f>INDEX(Tabelle,$C37,15)*INDEX(Tabelle,$C37,14)</f>
        <v>0</v>
      </c>
      <c r="R37" s="525">
        <f>INDEX(Tabelle,$C37,16)</f>
        <v>0</v>
      </c>
      <c r="S37" s="606">
        <f>INDEX(Tabelle,$C37,18)</f>
        <v>0</v>
      </c>
      <c r="T37" s="606">
        <f>INDEX(Tabelle,$C37,6)</f>
        <v>0</v>
      </c>
      <c r="U37" s="526">
        <f>INDEX(Tabelle,$C37,29)</f>
        <v>0</v>
      </c>
      <c r="V37" s="530">
        <f>IF(H37="",0,IF(TM_FM=2,B37,B37/H37*100))</f>
        <v>0</v>
      </c>
      <c r="W37" s="607">
        <f>IF(H37="",0,IF(TM_FM=1,B37,B37*H37/100))</f>
        <v>0</v>
      </c>
      <c r="X37" s="525">
        <f>IF(G37="G",W37,0)</f>
        <v>0</v>
      </c>
      <c r="Y37" s="532">
        <f>W37*I37</f>
        <v>0</v>
      </c>
      <c r="Z37" s="525">
        <f>IF(G37="G",I37*W37,0)</f>
        <v>0</v>
      </c>
      <c r="AA37" s="525">
        <f>W37*J37</f>
        <v>0</v>
      </c>
      <c r="AB37" s="524">
        <f>W37*K37</f>
        <v>0</v>
      </c>
      <c r="AC37" s="525">
        <f>+W37*L37</f>
        <v>0</v>
      </c>
      <c r="AD37" s="525">
        <f>+W37*M37</f>
        <v>0</v>
      </c>
      <c r="AE37" s="525">
        <f>IF(N37="-","k.A.",N37*$W37)</f>
        <v>0</v>
      </c>
      <c r="AF37" s="525">
        <f>IF(G37="G",N37*W37,0)</f>
        <v>0</v>
      </c>
      <c r="AG37" s="527">
        <f>+W37*P37</f>
        <v>0</v>
      </c>
      <c r="AH37" s="525">
        <f>+W37*Q37</f>
        <v>0</v>
      </c>
      <c r="AI37" s="525">
        <f>+W37*Q37</f>
        <v>0</v>
      </c>
      <c r="AJ37" s="525">
        <f>W37*S37</f>
        <v>0</v>
      </c>
      <c r="AK37" s="525">
        <f>W37*T37</f>
        <v>0</v>
      </c>
      <c r="AL37" s="587">
        <f>IF(V37=0,0,V37*U37/100)</f>
        <v>0</v>
      </c>
      <c r="AM37" s="534" t="str">
        <f>IF(Tiere&gt;0,Tiere*V37,"")</f>
        <v/>
      </c>
      <c r="AN37" s="535" t="str">
        <f>IF(B37="","",IF(COUNTIF(H37:N37,0)&gt;0,"?",""))</f>
        <v/>
      </c>
      <c r="AO37" s="27"/>
    </row>
    <row r="38" spans="1:184" s="359" customFormat="1" ht="18.75" customHeight="1" thickBot="1" x14ac:dyDescent="0.25">
      <c r="A38" s="1347"/>
      <c r="B38" s="30"/>
      <c r="C38" s="1339">
        <v>255</v>
      </c>
      <c r="D38" s="314">
        <f>INDEX(Tabelle,$C38,2)</f>
        <v>0</v>
      </c>
      <c r="E38" s="1366"/>
      <c r="F38" s="1367" t="str">
        <f>IF(INDEX(Tabelle,$C38,22)="","",1)</f>
        <v/>
      </c>
      <c r="G38" s="1336" t="str">
        <f>IF(INDEX(Tabelle,$C38,1)="G","G","")</f>
        <v/>
      </c>
      <c r="H38" s="551">
        <f>IF(OR(INDEX(Tabelle,$C38,3)="",INDEX(Tabelle,$C38,3)=0.0001),"",INDEX(Tabelle,$C38,3)/10)</f>
        <v>0</v>
      </c>
      <c r="I38" s="552">
        <f>ROUND(IF(Art=1,INDEX(Tabelle,$C38,4),INDEX(Tabelle,$C38,5)),2)</f>
        <v>0</v>
      </c>
      <c r="J38" s="553">
        <f>ROUND(IF(Art=1,INDEX(Tabelle,$C38,8),INDEX(Tabelle,$C38,6)),0)</f>
        <v>0</v>
      </c>
      <c r="K38" s="472">
        <f>IF(Art=1,IF(OR(INDEX(Tabelle,$C38,9)="",INDEX(Tabelle,$C38,9)=0.0001),0,INDEX(Tabelle,$C38,9)),0)</f>
        <v>0</v>
      </c>
      <c r="L38" s="553">
        <f>IF(OR(INDEX(Tabelle,$C38,14)="",INDEX(Tabelle,$C38,14)=0.0001),0,INDEX(Tabelle,$C38,14))</f>
        <v>0</v>
      </c>
      <c r="M38" s="553">
        <f>IF(Art=1,ROUND(INDEX(Tabelle,$C38,17),0),0)</f>
        <v>0</v>
      </c>
      <c r="N38" s="554">
        <f>IF(OR(INDEX(Tabelle,$C38,12)="",INDEX(Tabelle,$C38,12)=0.0001),0,INDEX(Tabelle,$C38,12))</f>
        <v>0</v>
      </c>
      <c r="O38" s="560">
        <f>IF(G38="G",N38,0)</f>
        <v>0</v>
      </c>
      <c r="P38" s="553">
        <f>INDEX(Tabelle,$C38,13)</f>
        <v>0</v>
      </c>
      <c r="Q38" s="553">
        <f>INDEX(Tabelle,$C38,15)*INDEX(Tabelle,$C38,14)</f>
        <v>0</v>
      </c>
      <c r="R38" s="553">
        <f>INDEX(Tabelle,$C38,16)</f>
        <v>0</v>
      </c>
      <c r="S38" s="556">
        <f>INDEX(Tabelle,$C38,18)</f>
        <v>0</v>
      </c>
      <c r="T38" s="556">
        <f>INDEX(Tabelle,$C38,6)</f>
        <v>0</v>
      </c>
      <c r="U38" s="554">
        <f>INDEX(Tabelle,$C38,29)</f>
        <v>0</v>
      </c>
      <c r="V38" s="557" t="e">
        <f>IF(H38="",0,IF(TM_FM=2,B38,B38/H38*100))</f>
        <v>#DIV/0!</v>
      </c>
      <c r="W38" s="608">
        <f>IF(H38="",0,IF(TM_FM=1,B38,B38*H38/100))</f>
        <v>0</v>
      </c>
      <c r="X38" s="525">
        <f>IF(G38="G",W38,0)</f>
        <v>0</v>
      </c>
      <c r="Y38" s="559">
        <f>W38*I38</f>
        <v>0</v>
      </c>
      <c r="Z38" s="525">
        <f>IF(G38="G",I38*W38,0)</f>
        <v>0</v>
      </c>
      <c r="AA38" s="553">
        <f>W38*J38</f>
        <v>0</v>
      </c>
      <c r="AB38" s="552">
        <f>W38*K38</f>
        <v>0</v>
      </c>
      <c r="AC38" s="553">
        <f>+W38*L38</f>
        <v>0</v>
      </c>
      <c r="AD38" s="553">
        <f>+W38*M38</f>
        <v>0</v>
      </c>
      <c r="AE38" s="553">
        <f>IF(N38="-","k.A.",N38*$W38)</f>
        <v>0</v>
      </c>
      <c r="AF38" s="553">
        <f>IF(G38="G",N38*W38,0)</f>
        <v>0</v>
      </c>
      <c r="AG38" s="553">
        <f>+W38*P38</f>
        <v>0</v>
      </c>
      <c r="AH38" s="553">
        <f>+W38*Q38</f>
        <v>0</v>
      </c>
      <c r="AI38" s="553">
        <f>+W38*Q38</f>
        <v>0</v>
      </c>
      <c r="AJ38" s="553">
        <f>W38*S38</f>
        <v>0</v>
      </c>
      <c r="AK38" s="553">
        <f>W38*T38</f>
        <v>0</v>
      </c>
      <c r="AL38" s="597" t="e">
        <f>IF(V38=0,0,V38*U38/100)</f>
        <v>#DIV/0!</v>
      </c>
      <c r="AM38" s="561" t="str">
        <f>IF(Tiere&gt;0,Tiere*V38,"")</f>
        <v/>
      </c>
      <c r="AN38" s="535" t="str">
        <f>IF(B38="","",IF(COUNTIF(H38:N38,0)&gt;0,"?",""))</f>
        <v/>
      </c>
      <c r="AO38" s="27"/>
    </row>
    <row r="39" spans="1:184" s="363" customFormat="1" ht="42" customHeight="1" thickBot="1" x14ac:dyDescent="0.25">
      <c r="A39" s="1340"/>
      <c r="B39" s="609" t="str">
        <f>B18&amp;", "&amp;B19</f>
        <v>TM, kg</v>
      </c>
      <c r="C39" s="1368"/>
      <c r="D39" s="1365"/>
      <c r="E39" s="1365"/>
      <c r="F39" s="1369"/>
      <c r="G39" s="1370"/>
      <c r="H39" s="610"/>
      <c r="I39" s="396"/>
      <c r="J39" s="396"/>
      <c r="K39" s="396"/>
      <c r="L39" s="562"/>
      <c r="M39" s="396"/>
      <c r="N39" s="396"/>
      <c r="O39" s="396"/>
      <c r="P39" s="575"/>
      <c r="Q39" s="575"/>
      <c r="R39" s="575"/>
      <c r="S39" s="575"/>
      <c r="T39" s="575"/>
      <c r="U39" s="575"/>
      <c r="V39" s="612" t="s">
        <v>149</v>
      </c>
      <c r="W39" s="613" t="s">
        <v>150</v>
      </c>
      <c r="X39" s="614"/>
      <c r="Y39" s="615" t="str">
        <f>+Y10&amp;"          "&amp;Y11</f>
        <v>NEL          MJ</v>
      </c>
      <c r="Z39" s="615"/>
      <c r="AA39" s="616" t="str">
        <f>+AA10&amp;"            "&amp;AA11</f>
        <v>nXP            g</v>
      </c>
      <c r="AB39" s="616" t="str">
        <f>" "&amp;AB10&amp;"                 "&amp;AB11</f>
        <v xml:space="preserve"> RNB                 -1 bis 0 g/kg TM</v>
      </c>
      <c r="AC39" s="616" t="str">
        <f>+AC10&amp;"             "&amp;AC11</f>
        <v>XS             &lt; 200g/kg TM</v>
      </c>
      <c r="AD39" s="616" t="str">
        <f>+AD10&amp;"          "&amp;AD11</f>
        <v>XS+XZ-bXS          &lt; 250 g/kg TM</v>
      </c>
      <c r="AE39" s="616" t="str">
        <f>+AE10&amp;"          "&amp;AE11</f>
        <v>aNDFom          &gt; 325 g/kg TM</v>
      </c>
      <c r="AF39" s="617" t="str">
        <f>+AF10&amp;"  "&amp;AF11</f>
        <v>aNDFomGF  &gt; 280 g/kg TM</v>
      </c>
      <c r="AG39" s="618" t="str">
        <f>+AG10&amp;"          "&amp;AG11</f>
        <v>NFC          &lt; 390 g/kg TM</v>
      </c>
      <c r="AH39" s="616" t="str">
        <f>+AH10&amp;"          "&amp;AH11</f>
        <v>bXS          &lt; 50 g/kg TM</v>
      </c>
      <c r="AI39" s="616" t="str">
        <f>+AI10&amp;"                        "&amp;AI11</f>
        <v>XZ                        &lt; 60 g/kg TM</v>
      </c>
      <c r="AJ39" s="616" t="str">
        <f>+AJ10&amp;"               "&amp;AJ11</f>
        <v>XL               &lt; 40 g/kg TM</v>
      </c>
      <c r="AK39" s="619" t="str">
        <f>+AK10&amp;"          "&amp;AK11</f>
        <v xml:space="preserve">XP          </v>
      </c>
      <c r="AL39" s="620"/>
      <c r="AM39" s="621" t="str">
        <f>"SI &gt;"&amp;SImin</f>
        <v>SI &gt;50</v>
      </c>
      <c r="AN39" s="430"/>
      <c r="AO39" s="316"/>
      <c r="AP39" s="359"/>
      <c r="AQ39" s="359"/>
      <c r="AR39" s="359"/>
      <c r="AS39" s="359"/>
      <c r="AT39" s="359"/>
      <c r="AU39" s="359"/>
      <c r="AV39" s="359"/>
      <c r="AW39" s="359"/>
      <c r="AX39" s="359"/>
      <c r="AY39" s="359"/>
      <c r="AZ39" s="359"/>
      <c r="BA39" s="359"/>
      <c r="BB39" s="359"/>
      <c r="BC39" s="359"/>
      <c r="BD39" s="359"/>
      <c r="BE39" s="359"/>
      <c r="BF39" s="359"/>
      <c r="BG39" s="359"/>
      <c r="BH39" s="359"/>
      <c r="BI39" s="359"/>
      <c r="BJ39" s="359"/>
      <c r="BK39" s="359"/>
      <c r="BL39" s="359"/>
      <c r="BM39" s="359"/>
      <c r="BN39" s="359"/>
      <c r="BO39" s="359"/>
      <c r="BP39" s="359"/>
      <c r="BQ39" s="359"/>
      <c r="BR39" s="359"/>
      <c r="BS39" s="359"/>
      <c r="BT39" s="359"/>
      <c r="BU39" s="359"/>
      <c r="BV39" s="359"/>
      <c r="BW39" s="359"/>
      <c r="BX39" s="359"/>
      <c r="BY39" s="359"/>
      <c r="BZ39" s="359"/>
      <c r="CA39" s="359"/>
      <c r="CB39" s="359"/>
      <c r="CC39" s="359"/>
      <c r="CD39" s="359"/>
      <c r="CE39" s="359"/>
      <c r="CF39" s="359"/>
      <c r="CG39" s="359"/>
      <c r="CH39" s="359"/>
      <c r="CI39" s="359"/>
      <c r="CJ39" s="359"/>
      <c r="CK39" s="359"/>
      <c r="CL39" s="359"/>
      <c r="CM39" s="359"/>
      <c r="CN39" s="359"/>
      <c r="CO39" s="359"/>
      <c r="CP39" s="359"/>
      <c r="CQ39" s="359"/>
      <c r="CR39" s="359"/>
      <c r="CS39" s="359"/>
      <c r="CT39" s="359"/>
      <c r="CU39" s="359"/>
      <c r="CV39" s="359"/>
      <c r="CW39" s="359"/>
      <c r="CX39" s="359"/>
      <c r="CY39" s="359"/>
      <c r="CZ39" s="359"/>
      <c r="DA39" s="359"/>
      <c r="DB39" s="359"/>
      <c r="DC39" s="359"/>
      <c r="DD39" s="359"/>
      <c r="DE39" s="359"/>
      <c r="DF39" s="359"/>
      <c r="DG39" s="359"/>
      <c r="DH39" s="359"/>
      <c r="DI39" s="359"/>
      <c r="DJ39" s="359"/>
      <c r="DK39" s="359"/>
      <c r="DL39" s="359"/>
      <c r="DM39" s="359"/>
      <c r="DN39" s="359"/>
      <c r="DO39" s="359"/>
      <c r="DP39" s="359"/>
      <c r="DQ39" s="359"/>
      <c r="DR39" s="359"/>
      <c r="DS39" s="359"/>
      <c r="DT39" s="359"/>
      <c r="DU39" s="359"/>
      <c r="DV39" s="359"/>
      <c r="DW39" s="359"/>
      <c r="DX39" s="359"/>
      <c r="DY39" s="359"/>
      <c r="DZ39" s="359"/>
      <c r="EA39" s="359"/>
      <c r="EB39" s="359"/>
      <c r="EC39" s="359"/>
      <c r="ED39" s="359"/>
      <c r="EE39" s="359"/>
      <c r="EF39" s="359"/>
      <c r="EG39" s="359"/>
      <c r="EH39" s="359"/>
      <c r="EI39" s="359"/>
      <c r="EJ39" s="359"/>
      <c r="EK39" s="359"/>
      <c r="EL39" s="359"/>
      <c r="EM39" s="359"/>
      <c r="EN39" s="359"/>
      <c r="EO39" s="359"/>
      <c r="EP39" s="359"/>
      <c r="EQ39" s="359"/>
      <c r="ER39" s="359"/>
      <c r="ES39" s="359"/>
      <c r="ET39" s="359"/>
      <c r="EU39" s="359"/>
      <c r="EV39" s="359"/>
      <c r="EW39" s="359"/>
      <c r="EX39" s="359"/>
      <c r="EY39" s="359"/>
      <c r="EZ39" s="359"/>
      <c r="FA39" s="359"/>
      <c r="FB39" s="359"/>
      <c r="FC39" s="359"/>
      <c r="FD39" s="359"/>
      <c r="FE39" s="359"/>
      <c r="FF39" s="359"/>
      <c r="FG39" s="359"/>
      <c r="FH39" s="359"/>
      <c r="FI39" s="359"/>
      <c r="FJ39" s="359"/>
      <c r="FK39" s="359"/>
      <c r="FL39" s="359"/>
      <c r="FM39" s="359"/>
      <c r="FN39" s="359"/>
      <c r="FO39" s="359"/>
      <c r="FP39" s="359"/>
      <c r="FQ39" s="359"/>
      <c r="FR39" s="359"/>
      <c r="FS39" s="359"/>
      <c r="FT39" s="359"/>
      <c r="FU39" s="359"/>
      <c r="FV39" s="359"/>
      <c r="FW39" s="359"/>
      <c r="FX39" s="359"/>
      <c r="FY39" s="359"/>
      <c r="FZ39" s="359"/>
      <c r="GA39" s="359"/>
      <c r="GB39" s="359"/>
    </row>
    <row r="40" spans="1:184" s="359" customFormat="1" ht="17.25" customHeight="1" thickBot="1" x14ac:dyDescent="0.25">
      <c r="A40" s="1347"/>
      <c r="B40" s="572">
        <f>SUM(B20:B24,B28:B32,B37:B38)</f>
        <v>0</v>
      </c>
      <c r="C40" s="1371"/>
      <c r="D40" s="1348"/>
      <c r="E40" s="1348"/>
      <c r="F40" s="1348"/>
      <c r="G40" s="1348"/>
      <c r="H40" s="491"/>
      <c r="I40" s="491"/>
      <c r="J40" s="491"/>
      <c r="K40" s="491"/>
      <c r="L40" s="491"/>
      <c r="M40" s="491"/>
      <c r="N40" s="491"/>
      <c r="O40" s="491"/>
      <c r="P40" s="491"/>
      <c r="Q40" s="491"/>
      <c r="R40" s="622" t="s">
        <v>126</v>
      </c>
      <c r="S40" s="622"/>
      <c r="T40" s="622"/>
      <c r="U40" s="562"/>
      <c r="V40" s="623" t="e">
        <f t="shared" ref="V40:AD40" si="4">V33+V37+V38</f>
        <v>#DIV/0!</v>
      </c>
      <c r="W40" s="624">
        <f>W33+W37+W38</f>
        <v>0</v>
      </c>
      <c r="X40" s="625"/>
      <c r="Y40" s="626">
        <f t="shared" si="4"/>
        <v>0</v>
      </c>
      <c r="Z40" s="626"/>
      <c r="AA40" s="627">
        <f t="shared" si="4"/>
        <v>0</v>
      </c>
      <c r="AB40" s="628">
        <f t="shared" si="4"/>
        <v>0</v>
      </c>
      <c r="AC40" s="627">
        <f t="shared" si="4"/>
        <v>0</v>
      </c>
      <c r="AD40" s="627">
        <f t="shared" si="4"/>
        <v>0</v>
      </c>
      <c r="AE40" s="627">
        <f t="shared" ref="AE40:AL40" si="5">IF( OR(,AE33="k.A.",AE37="k.A.",AE38="k.A."),"k.A.",SUM(AE33,AE37:AE38))</f>
        <v>0</v>
      </c>
      <c r="AF40" s="627">
        <f>IF( OR(,AF33="k.A.",AF37="k.A.",AF38="k.A."),"k.A.",SUM(AF33,AF37:AF38))</f>
        <v>0</v>
      </c>
      <c r="AG40" s="627">
        <f t="shared" si="5"/>
        <v>0</v>
      </c>
      <c r="AH40" s="627">
        <f>IF( OR(,AH33="k.A.",AH37="k.A.",AH38="k.A."),"k.A.",SUM(AH33,AH37:AH38))</f>
        <v>0</v>
      </c>
      <c r="AI40" s="627">
        <f t="shared" si="5"/>
        <v>0</v>
      </c>
      <c r="AJ40" s="627">
        <f t="shared" si="5"/>
        <v>0</v>
      </c>
      <c r="AK40" s="627">
        <f t="shared" si="5"/>
        <v>0</v>
      </c>
      <c r="AL40" s="629" t="e">
        <f t="shared" si="5"/>
        <v>#DIV/0!</v>
      </c>
      <c r="AM40" s="1429">
        <f>aNDFomGF/1000/(aNDFomGF/1000+(pabXS_XZ/1000-2.8)/0.36)*100</f>
        <v>0</v>
      </c>
      <c r="AN40" s="535"/>
      <c r="AO40" s="27"/>
    </row>
    <row r="41" spans="1:184" s="359" customFormat="1" ht="17.25" customHeight="1" thickBot="1" x14ac:dyDescent="0.25">
      <c r="A41" s="1347"/>
      <c r="B41" s="1348"/>
      <c r="C41" s="1348"/>
      <c r="D41" s="1349"/>
      <c r="E41" s="1372"/>
      <c r="F41" s="1349"/>
      <c r="G41" s="1349"/>
      <c r="H41" s="562"/>
      <c r="I41" s="630"/>
      <c r="J41" s="562"/>
      <c r="K41" s="562"/>
      <c r="L41" s="562"/>
      <c r="M41" s="562"/>
      <c r="N41" s="562"/>
      <c r="O41" s="491"/>
      <c r="P41" s="491"/>
      <c r="Q41" s="491"/>
      <c r="R41" s="622" t="s">
        <v>126</v>
      </c>
      <c r="S41" s="622"/>
      <c r="T41" s="622"/>
      <c r="U41" s="562"/>
      <c r="V41" s="631" t="s">
        <v>146</v>
      </c>
      <c r="W41" s="632" t="str">
        <f>IF(W40=0,"",TS/V40)</f>
        <v/>
      </c>
      <c r="X41" s="633"/>
      <c r="Y41" s="634" t="str">
        <f t="shared" ref="Y41:AE41" si="6">IF($W$40&gt;0,Y40/$W$40,"")</f>
        <v/>
      </c>
      <c r="Z41" s="635"/>
      <c r="AA41" s="636" t="str">
        <f>IF($W$40&gt;0,AA40/$W$40,"")</f>
        <v/>
      </c>
      <c r="AB41" s="637" t="str">
        <f>IF($W$40&gt;0,AB40/$W$40,"")</f>
        <v/>
      </c>
      <c r="AC41" s="636" t="str">
        <f t="shared" si="6"/>
        <v/>
      </c>
      <c r="AD41" s="636" t="str">
        <f t="shared" si="6"/>
        <v/>
      </c>
      <c r="AE41" s="636" t="str">
        <f t="shared" si="6"/>
        <v/>
      </c>
      <c r="AF41" s="636" t="str">
        <f t="shared" ref="AF41:AK41" si="7">IF($W$40&gt;0,AF40/$W$40,"")</f>
        <v/>
      </c>
      <c r="AG41" s="636" t="str">
        <f t="shared" si="7"/>
        <v/>
      </c>
      <c r="AH41" s="636" t="str">
        <f>IF($W$40&gt;0,AH40/$W$40,"")</f>
        <v/>
      </c>
      <c r="AI41" s="636" t="str">
        <f t="shared" si="7"/>
        <v/>
      </c>
      <c r="AJ41" s="636" t="str">
        <f t="shared" si="7"/>
        <v/>
      </c>
      <c r="AK41" s="636" t="str">
        <f t="shared" si="7"/>
        <v/>
      </c>
      <c r="AL41" s="638"/>
      <c r="AM41" s="1430"/>
      <c r="AN41" s="535"/>
      <c r="AO41" s="27"/>
    </row>
    <row r="42" spans="1:184" s="359" customFormat="1" ht="17.25" customHeight="1" thickBot="1" x14ac:dyDescent="0.25">
      <c r="A42" s="1347"/>
      <c r="B42" s="1348"/>
      <c r="C42" s="1371"/>
      <c r="D42" s="1348"/>
      <c r="E42" s="1348"/>
      <c r="F42" s="1348"/>
      <c r="G42" s="1352"/>
      <c r="H42" s="491"/>
      <c r="I42" s="491"/>
      <c r="J42" s="491"/>
      <c r="K42" s="491"/>
      <c r="L42" s="491"/>
      <c r="M42" s="491"/>
      <c r="N42" s="491"/>
      <c r="O42" s="491"/>
      <c r="P42" s="491"/>
      <c r="Q42" s="491"/>
      <c r="R42" s="622" t="s">
        <v>126</v>
      </c>
      <c r="S42" s="622"/>
      <c r="T42" s="622"/>
      <c r="U42" s="562"/>
      <c r="V42" s="639" t="s">
        <v>322</v>
      </c>
      <c r="W42" s="640" t="str">
        <f>IF(TS=0,"",IF(W40&lt;ITmin*W15,ROUND((W40-W15)/W15,0),IF(W40&lt;ITmin*1.05*W15,"!",IF(W40&gt;ITmax*W15,"+"&amp;ROUND((W40-W15)/W15*100,0)&amp;"%",IF(W40&gt;ITmax*0.95*W15,"!","")))))</f>
        <v/>
      </c>
      <c r="X42" s="640"/>
      <c r="Y42" s="640" t="str">
        <f>IF(Y40&lt;NELmin*Y15,ROUND((Y40-Y15)/Y15,0),IF(Y40&lt;NELmin*1.05*Y15,"!",IF(Y40&gt;NELmax*Y15,"+"&amp;ROUND((Y40-Y15)/Y15*100,0)&amp;"%",IF(Y40&gt;NELmax*0.95*Y15,"!",""))))</f>
        <v/>
      </c>
      <c r="Z42" s="641"/>
      <c r="AA42" s="642" t="str">
        <f>IF(AA40&lt;nXPmin*AA15,ROUND((AA40-AA15)/AA15,0),IF(AA40&lt;nXPmin*1.05*AA15,"!",IF(AA40&gt;nXPmax*AA15,"+"&amp;ROUND((AA40-AA15)/AA15*100,0)&amp;"%",IF(AA40&gt;nXPmax*0.95*AA15,"!",""))))</f>
        <v/>
      </c>
      <c r="AB42" s="643" t="e">
        <f>IF(M_kg="T",IF(AB41&gt;RNB_t_max+0.3,AB41-RNB_t_max,IF(AB41&lt;RNB_t_min-0.3,IF(AB41&lt;RNB_t_min-0.3,AB41-RNB_t_min),IF(OR(AB41&lt;RNB_t_min,AB41&gt;RNB_t_max),"!",""))),IF(AB41&lt;RNBmin-0.2,AB41-RNBmin,IF(AB41&gt;RNBmax+0.2,AB41-RNBmax,IF(OR(AB41&lt;RNBmin,AB41&gt;RNBmax),"!",""))))</f>
        <v>#VALUE!</v>
      </c>
      <c r="AC42" s="642" t="str">
        <f>IF(W40=0,"",IF(AC41&gt;XSmax,"+"&amp;ROUND((AC41-XSmax)/XSmax*100,0)&amp;"%",IF(AC41&gt;XSmax*0.95,"!","")))</f>
        <v/>
      </c>
      <c r="AD42" s="642" t="str">
        <f>IF(W40=0,"",IF(AD41&gt;pab_max,"+"&amp;ROUND((AD41-pab_max)/pab_max*100,0)&amp;"%",IF(AD41&gt;pab_max*0.95,"!","")))</f>
        <v/>
      </c>
      <c r="AE42" s="644" t="str">
        <f>IF(AE41&lt;NDFmin,ROUND((AE41-NDFmin)/NDFmin*100,0)&amp;"%",IF(AE41&lt;NDFmin*1.05,"!",""))</f>
        <v/>
      </c>
      <c r="AF42" s="644" t="str">
        <f>IF(AF41&lt;aNDFomGF_min,ROUND((AF41-aNDFomGF_min)/aNDFomGF_min*100,0)&amp;"%",IF(AF41&lt;aNDFomGF_min*1.05,"!",""))</f>
        <v/>
      </c>
      <c r="AG42" s="645" t="str">
        <f>IF(W40=0,"",IF(AG41&gt;NFCmax,"+"&amp;ROUND((AG41-NFCmax)/NFCmax*100,0)&amp;"%",IF(AG41&gt;NFCmax*0.95,"!","")))</f>
        <v/>
      </c>
      <c r="AH42" s="645" t="str">
        <f>IF(W40=0,"",IF(AH41&gt;50,"+"&amp;ROUND((AH41-50)/50*100,0)&amp;"%",IF(AH41&gt;50*0.95,"!","")))</f>
        <v/>
      </c>
      <c r="AI42" s="645" t="str">
        <f>IF(W40=0,"",IF(AI41&gt;XZmax,"+"&amp;ROUND((AI41-XZmax)/XZmax*100,0)&amp;"%",IF(AI41&gt;XZmax*0.95,"!","")))</f>
        <v/>
      </c>
      <c r="AJ42" s="645" t="str">
        <f>IF(W40=0,"",IF(AJ41&gt;XLmax,"+"&amp;ROUND((AJ41-XLmax)/XLmax*100,0)&amp;"%",IF(AJ41&gt;XLmax*0.95,"!","")))</f>
        <v/>
      </c>
      <c r="AK42" s="645"/>
      <c r="AL42" s="645"/>
      <c r="AM42" s="646" t="str">
        <f>IF(AM40&lt;SImin,ROUND((AM40-SImin)/SImin*100,0)&amp;"%",IF(AM40&lt;SImin*1.05,"!",""))</f>
        <v>-100%</v>
      </c>
      <c r="AN42" s="535"/>
      <c r="AO42" s="27"/>
    </row>
    <row r="43" spans="1:184" s="359" customFormat="1" ht="17.25" customHeight="1" thickBot="1" x14ac:dyDescent="0.25">
      <c r="A43" s="1353"/>
      <c r="B43" s="1348"/>
      <c r="C43" s="1348"/>
      <c r="D43" s="1349"/>
      <c r="E43" s="1349"/>
      <c r="F43" s="1349"/>
      <c r="G43" s="1350"/>
      <c r="H43" s="562"/>
      <c r="I43" s="562"/>
      <c r="J43" s="562"/>
      <c r="K43" s="562"/>
      <c r="L43" s="562"/>
      <c r="M43" s="562"/>
      <c r="N43" s="562"/>
      <c r="O43" s="491"/>
      <c r="P43" s="491"/>
      <c r="Q43" s="491"/>
      <c r="R43" s="622" t="s">
        <v>127</v>
      </c>
      <c r="S43" s="622"/>
      <c r="T43" s="622"/>
      <c r="U43" s="562"/>
      <c r="V43" s="396"/>
      <c r="W43" s="647" t="str">
        <f>IF(W15="Daten?","",IF(OR(W40&gt;1.1*W15,W40&lt;0.9*W15),"Die TM-Aufnahme sollte überprüft werden!","Soll "&amp;ROUND(W15,1)))</f>
        <v/>
      </c>
      <c r="X43" s="647"/>
      <c r="Y43" s="648">
        <f>IF(Y12=0,0,(Y40-Y14)/Y12)</f>
        <v>0</v>
      </c>
      <c r="Z43" s="649"/>
      <c r="AA43" s="650">
        <f>IF(AA12=0,0,(AA40-AA14)/AA12)</f>
        <v>0</v>
      </c>
      <c r="AB43" s="491" t="s">
        <v>28</v>
      </c>
      <c r="AC43" s="562" t="str">
        <f>+AD41</f>
        <v/>
      </c>
      <c r="AD43" s="600"/>
      <c r="AE43" s="600" t="e">
        <f>IF(OR(AF40="k.A.",V40=0),"",+AF40/$V40*0.001)</f>
        <v>#DIV/0!</v>
      </c>
      <c r="AF43" s="562" t="str">
        <f>IF(Y40=0,"",+AC40/$V40*0.001)</f>
        <v/>
      </c>
      <c r="AG43" s="562"/>
      <c r="AH43" s="562" t="e">
        <f>IF(V40=0,"",+AH40/$V40*0.001)</f>
        <v>#DIV/0!</v>
      </c>
      <c r="AI43" s="562"/>
      <c r="AJ43" s="562" t="str">
        <f>IF(AA40=0,"",+AJ40/$V40*0.001)</f>
        <v/>
      </c>
      <c r="AK43" s="562" t="str">
        <f>IF(AB40=0,"",+AK40/$V40*0.001)</f>
        <v/>
      </c>
      <c r="AL43" s="562"/>
      <c r="AM43" s="600"/>
      <c r="AN43" s="583"/>
      <c r="AO43" s="27"/>
    </row>
    <row r="44" spans="1:184" s="359" customFormat="1" ht="4.5" customHeight="1" thickBot="1" x14ac:dyDescent="0.25">
      <c r="A44" s="574"/>
      <c r="B44" s="491"/>
      <c r="C44" s="491"/>
      <c r="D44" s="562"/>
      <c r="E44" s="562"/>
      <c r="F44" s="562"/>
      <c r="G44" s="563"/>
      <c r="H44" s="562"/>
      <c r="I44" s="562"/>
      <c r="J44" s="562"/>
      <c r="K44" s="562"/>
      <c r="L44" s="562"/>
      <c r="M44" s="562"/>
      <c r="N44" s="562"/>
      <c r="O44" s="491"/>
      <c r="P44" s="491"/>
      <c r="Q44" s="491"/>
      <c r="R44" s="622"/>
      <c r="S44" s="622"/>
      <c r="T44" s="622"/>
      <c r="U44" s="562"/>
      <c r="V44" s="396"/>
      <c r="W44" s="611"/>
      <c r="X44" s="611"/>
      <c r="Y44" s="611"/>
      <c r="Z44" s="611"/>
      <c r="AA44" s="611"/>
      <c r="AB44" s="491"/>
      <c r="AC44" s="562"/>
      <c r="AD44" s="600"/>
      <c r="AE44" s="600"/>
      <c r="AF44" s="562"/>
      <c r="AG44" s="562"/>
      <c r="AH44" s="562"/>
      <c r="AI44" s="562"/>
      <c r="AJ44" s="562"/>
      <c r="AK44" s="562"/>
      <c r="AL44" s="562"/>
      <c r="AM44" s="600"/>
      <c r="AN44" s="583"/>
      <c r="AO44" s="27"/>
    </row>
    <row r="45" spans="1:184" s="359" customFormat="1" ht="15" customHeight="1" x14ac:dyDescent="0.2">
      <c r="A45" s="574"/>
      <c r="B45" s="491"/>
      <c r="C45" s="491"/>
      <c r="D45" s="562"/>
      <c r="E45" s="562"/>
      <c r="F45" s="562"/>
      <c r="G45" s="563"/>
      <c r="H45" s="562"/>
      <c r="I45" s="562"/>
      <c r="J45" s="562"/>
      <c r="K45" s="562"/>
      <c r="L45" s="562"/>
      <c r="M45" s="562"/>
      <c r="N45" s="562"/>
      <c r="O45" s="491"/>
      <c r="P45" s="491"/>
      <c r="Q45" s="491"/>
      <c r="R45" s="622"/>
      <c r="S45" s="622"/>
      <c r="T45" s="622"/>
      <c r="U45" s="562"/>
      <c r="V45" s="651" t="s">
        <v>30</v>
      </c>
      <c r="W45" s="652"/>
      <c r="X45" s="652"/>
      <c r="Y45" s="508" t="str">
        <f>'Ration Milch-Mineralstoffe'!N14</f>
        <v>Ca</v>
      </c>
      <c r="Z45" s="513"/>
      <c r="AA45" s="509" t="str">
        <f>'Ration Milch-Mineralstoffe'!O14</f>
        <v>P</v>
      </c>
      <c r="AB45" s="509" t="str">
        <f>'Ration Milch-Mineralstoffe'!P14</f>
        <v>Na</v>
      </c>
      <c r="AC45" s="509" t="str">
        <f>'Ration Milch-Mineralstoffe'!Q14</f>
        <v>Mg</v>
      </c>
      <c r="AD45" s="509" t="str">
        <f>'Ration Milch-Mineralstoffe'!R14</f>
        <v>K</v>
      </c>
      <c r="AE45" s="509" t="str">
        <f>'Ration Milch-Mineralstoffe'!S14</f>
        <v>Se</v>
      </c>
      <c r="AF45" s="509" t="str">
        <f>'Ration Milch-Mineralstoffe'!T14</f>
        <v>DCAB</v>
      </c>
      <c r="AG45" s="509" t="s">
        <v>331</v>
      </c>
      <c r="AH45" s="653" t="s">
        <v>332</v>
      </c>
      <c r="AI45" s="562"/>
      <c r="AJ45" s="562"/>
      <c r="AK45" s="562"/>
      <c r="AL45" s="562"/>
      <c r="AM45" s="514" t="s">
        <v>378</v>
      </c>
      <c r="AN45" s="583"/>
      <c r="AO45" s="27"/>
    </row>
    <row r="46" spans="1:184" s="359" customFormat="1" ht="21.6" customHeight="1" thickBot="1" x14ac:dyDescent="0.25">
      <c r="A46" s="574"/>
      <c r="B46" s="491"/>
      <c r="C46" s="491"/>
      <c r="D46" s="562"/>
      <c r="E46" s="562"/>
      <c r="F46" s="562"/>
      <c r="G46" s="563"/>
      <c r="H46" s="562"/>
      <c r="I46" s="562"/>
      <c r="J46" s="562"/>
      <c r="K46" s="562"/>
      <c r="L46" s="562"/>
      <c r="M46" s="562"/>
      <c r="N46" s="562"/>
      <c r="O46" s="491"/>
      <c r="P46" s="491"/>
      <c r="Q46" s="491"/>
      <c r="R46" s="622"/>
      <c r="S46" s="622"/>
      <c r="T46" s="622"/>
      <c r="U46" s="562"/>
      <c r="V46" s="654"/>
      <c r="W46" s="655" t="s">
        <v>339</v>
      </c>
      <c r="X46" s="655"/>
      <c r="Y46" s="656" t="e">
        <f>'Ration Milch-Mineralstoffe'!N11/'Ration Milch-Mineralstoffe'!M7</f>
        <v>#DIV/0!</v>
      </c>
      <c r="Z46" s="657"/>
      <c r="AA46" s="658" t="e">
        <f>'Ration Milch-Mineralstoffe'!O11/'Ration Milch-Mineralstoffe'!M7</f>
        <v>#DIV/0!</v>
      </c>
      <c r="AB46" s="658" t="e">
        <f>'Ration Milch-Mineralstoffe'!P11/'Ration Milch-Mineralstoffe'!M7</f>
        <v>#DIV/0!</v>
      </c>
      <c r="AC46" s="658" t="e">
        <f>'Ration Milch-Mineralstoffe'!Q11/'Ration Milch-Mineralstoffe'!M7</f>
        <v>#DIV/0!</v>
      </c>
      <c r="AD46" s="658" t="e">
        <f>'Ration Milch-Mineralstoffe'!R11/'Ration Milch-Mineralstoffe'!M7</f>
        <v>#DIV/0!</v>
      </c>
      <c r="AE46" s="658" t="e">
        <f>'Ration Milch-Mineralstoffe'!S11/'Ration Milch-Mineralstoffe'!M7</f>
        <v>#DIV/0!</v>
      </c>
      <c r="AF46" s="659" t="str">
        <f>'Ration Milch-Mineralstoffe'!T11&amp;"                   meq/kg TM"</f>
        <v>200-350                   meq/kg TM</v>
      </c>
      <c r="AG46" s="660" t="str">
        <f>"1 : "&amp;FIXED((CaPmin+CaPmax)/2,2)</f>
        <v>1 : 0.63</v>
      </c>
      <c r="AH46" s="661" t="str">
        <f>"1 : "&amp;FIXED((NaKmin+NaKmax)/2,1)</f>
        <v>1 : 10.0</v>
      </c>
      <c r="AI46" s="562"/>
      <c r="AJ46" s="562"/>
      <c r="AK46" s="562"/>
      <c r="AL46" s="562"/>
      <c r="AM46" s="662" t="s">
        <v>382</v>
      </c>
      <c r="AN46" s="583"/>
      <c r="AO46" s="27"/>
    </row>
    <row r="47" spans="1:184" s="359" customFormat="1" ht="18.75" customHeight="1" thickBot="1" x14ac:dyDescent="0.25">
      <c r="A47" s="574"/>
      <c r="B47" s="491"/>
      <c r="C47" s="491"/>
      <c r="D47" s="562"/>
      <c r="E47" s="562"/>
      <c r="F47" s="562"/>
      <c r="G47" s="563"/>
      <c r="H47" s="562"/>
      <c r="I47" s="562"/>
      <c r="J47" s="562"/>
      <c r="K47" s="562"/>
      <c r="L47" s="562"/>
      <c r="M47" s="562"/>
      <c r="N47" s="562"/>
      <c r="O47" s="491"/>
      <c r="P47" s="491"/>
      <c r="Q47" s="491"/>
      <c r="R47" s="622"/>
      <c r="S47" s="622"/>
      <c r="T47" s="622"/>
      <c r="U47" s="562"/>
      <c r="V47" s="654"/>
      <c r="W47" s="655" t="s">
        <v>340</v>
      </c>
      <c r="X47" s="655"/>
      <c r="Y47" s="663" t="str">
        <f>'Ration Milch-Mineralstoffe'!N38</f>
        <v/>
      </c>
      <c r="Z47" s="664"/>
      <c r="AA47" s="665" t="str">
        <f>'Ration Milch-Mineralstoffe'!O38</f>
        <v/>
      </c>
      <c r="AB47" s="665" t="str">
        <f>'Ration Milch-Mineralstoffe'!P38</f>
        <v/>
      </c>
      <c r="AC47" s="665" t="str">
        <f>'Ration Milch-Mineralstoffe'!Q38</f>
        <v/>
      </c>
      <c r="AD47" s="666" t="str">
        <f>'Ration Milch-Mineralstoffe'!R38</f>
        <v/>
      </c>
      <c r="AE47" s="665" t="str">
        <f>IF('Ration Milch-Mineralstoffe'!S38=0,"k.A.",'Ration Milch-Mineralstoffe'!S38)</f>
        <v/>
      </c>
      <c r="AF47" s="667" t="str">
        <f>'Ration Milch-Mineralstoffe'!T38</f>
        <v/>
      </c>
      <c r="AG47" s="665" t="e">
        <f>"1 : "&amp;FIXED('Ration Milch-Mineralstoffe'!O38/'Ration Milch-Mineralstoffe'!N38,2)</f>
        <v>#VALUE!</v>
      </c>
      <c r="AH47" s="668" t="e">
        <f>"1 : "&amp;FIXED('Ration Milch-Mineralstoffe'!R38/'Ration Milch-Mineralstoffe'!P38,1)</f>
        <v>#VALUE!</v>
      </c>
      <c r="AI47" s="562"/>
      <c r="AJ47" s="562"/>
      <c r="AK47" s="562"/>
      <c r="AL47" s="562"/>
      <c r="AM47" s="669" t="str">
        <f>IF(Y43&lt;&gt;0,AL40/Y43*100,"")</f>
        <v/>
      </c>
      <c r="AN47" s="583"/>
      <c r="AO47" s="27"/>
    </row>
    <row r="48" spans="1:184" s="359" customFormat="1" ht="17.25" customHeight="1" thickBot="1" x14ac:dyDescent="0.25">
      <c r="A48" s="670"/>
      <c r="B48" s="491"/>
      <c r="C48" s="491"/>
      <c r="D48" s="491"/>
      <c r="E48" s="491"/>
      <c r="F48" s="671"/>
      <c r="G48" s="672"/>
      <c r="H48" s="491"/>
      <c r="I48" s="491"/>
      <c r="J48" s="491"/>
      <c r="K48" s="491"/>
      <c r="L48" s="562"/>
      <c r="M48" s="562"/>
      <c r="N48" s="562"/>
      <c r="O48" s="491"/>
      <c r="P48" s="491"/>
      <c r="Q48" s="491"/>
      <c r="R48" s="491"/>
      <c r="S48" s="491"/>
      <c r="T48" s="491"/>
      <c r="U48" s="491"/>
      <c r="V48" s="673"/>
      <c r="W48" s="674"/>
      <c r="X48" s="674"/>
      <c r="Y48" s="675" t="e">
        <f>IF(Y47&lt;Camin*Y46,ROUND((Y47/Y46-1),2),IF(Y47&lt;Camin*1.05*Y46,"!",IF(Y47&gt;Camax*Y46,"+"&amp;ROUND((Y47/Y46-1)*100,0)&amp;"%",IF(Y47&gt;Camax*0.95*Y46,"!",""))))</f>
        <v>#DIV/0!</v>
      </c>
      <c r="Z48" s="676"/>
      <c r="AA48" s="677" t="e">
        <f>IF(AA47&lt;Pmin*AA46,ROUND((AA47/AA46-1),2),IF(AA47&lt;Pmin*1.05*AA46,"!",IF(AA47&gt;Pmax*AA46,"+"&amp;ROUND((AA47/AA46-1)*100,0)&amp;"%",IF(AA47&gt;Pmax*0.95*AA46,"!",""))))</f>
        <v>#DIV/0!</v>
      </c>
      <c r="AB48" s="677" t="e">
        <f>IF(AB47&lt;Namin*AB46,ROUND((AB47/AB46-1),2),IF(AB47&lt;Namin*1.05*AB46,"!",IF(AB47&gt;Namax*AB46,"+"&amp;ROUND((AB47/AB46-1)*100,0)&amp;"%",IF(AB47&gt;Namax*0.95*AB46,"!",""))))</f>
        <v>#DIV/0!</v>
      </c>
      <c r="AC48" s="677" t="e">
        <f>IF(AC47&lt;Mgmin*AC46,ROUND((AC47/AC46-1),2),IF(AC47&lt;Mgmin*1.05*AC46,"!",IF(AC47&gt;Mgmax*AC46,"+"&amp;ROUND((AC47/AC46-1)*100,0)&amp;"%",IF(AC47&gt;Mgmax*0.95*AC46,"!",""))))</f>
        <v>#DIV/0!</v>
      </c>
      <c r="AD48" s="677" t="e">
        <f>IF(AD47&lt;Kmin*AD46,ROUND((AD47/AD46-1),2),IF(AD47&lt;Kmin*1.05*AD46,"!",IF(AD47&gt;Kmax*AD46,"+"&amp;ROUND((AD47/AD46-1)*100,0)&amp;"%",IF(AD47&gt;Kmax*0.95*AD46,"!",""))))</f>
        <v>#DIV/0!</v>
      </c>
      <c r="AE48" s="677" t="e">
        <f>IF(AE47="k.A.","k.A.",IF(AE47&lt;Semin*AE46,ROUND((AE47-AE46)/AE46,0),IF(AE47&lt;Semin*1.05*AE46,"!",IF(AE47&gt;Semax*AE46,"+"&amp;ROUND((AE47-AE46)/AE46*100,0)&amp;"%",IF(AE47&gt;Semax*0.95*AE46,"!","")))))</f>
        <v>#DIV/0!</v>
      </c>
      <c r="AF48" s="678" t="e">
        <f>IF(M_kg="T",IF(AF47&gt;DCAB_t_max+100,AF47-100,IF(AF47&gt;DCAB_t_max,"!","")),IF(AF47&lt;DCAB_lakt_min-50,AF47-DCAB_lakt_min,IF(AF47&gt;DCAB_lakt_max+50,AF47-DCAB_lakt_max,IF(OR(AF47&lt;DCAB_lakt_min,AF47&gt;DCAB_lakt_max),"!",""))))</f>
        <v>#VALUE!</v>
      </c>
      <c r="AG48" s="677" t="e">
        <f>IF(RIGHT(AG47,4)*1&lt;CaPmin,RIGHT(AG47,4)/RIGHT(AG46,4)-1,IF(RIGHT(AG47,4)*1&lt;CaPmin*1.1,"!",IF(RIGHT(AG47,4)*1&gt;CaPmax,"+"&amp;ROUND((RIGHT(AG47,4)/RIGHT(AG46,4)-1)*100,2)&amp;"%",IF(RIGHT(AG47,4)*1&gt;CaPmax*0.9,"!",""))))</f>
        <v>#VALUE!</v>
      </c>
      <c r="AH48" s="679" t="e">
        <f>IF(RIGHT(AH47,4)*1&lt;NaKmin,RIGHT(AH47,4)/RIGHT(AH46,4)-1,IF(RIGHT(AH47,4)*1&lt;NaKmin*1.1,"!",IF(RIGHT(AH47,4)*1&gt;NaKmax,"+"&amp;ROUND((RIGHT(AH47,4)/RIGHT(AH46,4)-1)*100,2)&amp;"%",IF(RIGHT(AH47,4)*1&gt;NaKmax*0.9,"!",""))))</f>
        <v>#VALUE!</v>
      </c>
      <c r="AI48" s="680"/>
      <c r="AJ48" s="681"/>
      <c r="AK48" s="682"/>
      <c r="AL48" s="682"/>
      <c r="AM48" s="683" t="str">
        <f>IF(COUNTIF(AL20:AL38,"&gt;0")&lt;&gt;COUNTIF(AM20:AM38,"&gt;0"),"!","")</f>
        <v/>
      </c>
      <c r="AN48" s="684"/>
      <c r="AO48" s="27"/>
    </row>
    <row r="49" spans="1:184" s="359" customFormat="1" ht="10.5" customHeight="1" x14ac:dyDescent="0.2">
      <c r="A49" s="670"/>
      <c r="B49" s="491"/>
      <c r="C49" s="491"/>
      <c r="D49" s="491"/>
      <c r="E49" s="491"/>
      <c r="F49" s="671"/>
      <c r="G49" s="672"/>
      <c r="H49" s="685"/>
      <c r="I49" s="671"/>
      <c r="J49" s="671"/>
      <c r="K49" s="685"/>
      <c r="L49" s="562"/>
      <c r="M49" s="562"/>
      <c r="N49" s="562"/>
      <c r="O49" s="491"/>
      <c r="P49" s="491"/>
      <c r="Q49" s="491"/>
      <c r="R49" s="491"/>
      <c r="S49" s="491"/>
      <c r="T49" s="491"/>
      <c r="U49" s="491"/>
      <c r="V49" s="396"/>
      <c r="W49" s="396"/>
      <c r="X49" s="396"/>
      <c r="Y49" s="686"/>
      <c r="Z49" s="686"/>
      <c r="AA49" s="686"/>
      <c r="AB49" s="686"/>
      <c r="AC49" s="680"/>
      <c r="AD49" s="682"/>
      <c r="AE49" s="584"/>
      <c r="AF49" s="680"/>
      <c r="AG49" s="680"/>
      <c r="AH49" s="680"/>
      <c r="AI49" s="680"/>
      <c r="AJ49" s="681"/>
      <c r="AK49" s="682"/>
      <c r="AL49" s="682"/>
      <c r="AM49" s="584"/>
      <c r="AN49" s="684"/>
      <c r="AO49" s="27"/>
    </row>
    <row r="50" spans="1:184" s="358" customFormat="1" ht="10.5" customHeight="1" x14ac:dyDescent="0.2">
      <c r="A50" s="687"/>
      <c r="B50" s="688"/>
      <c r="C50" s="689"/>
      <c r="D50" s="689"/>
      <c r="E50" s="689"/>
      <c r="F50" s="689"/>
      <c r="G50" s="690"/>
      <c r="H50" s="689"/>
      <c r="I50" s="689"/>
      <c r="J50" s="689"/>
      <c r="K50" s="689"/>
      <c r="L50" s="689"/>
      <c r="M50" s="689"/>
      <c r="N50" s="691"/>
      <c r="O50" s="691"/>
      <c r="P50" s="691"/>
      <c r="Q50" s="691"/>
      <c r="R50" s="691"/>
      <c r="S50" s="692"/>
      <c r="T50" s="692"/>
      <c r="U50" s="691"/>
      <c r="V50" s="693"/>
      <c r="W50" s="693"/>
      <c r="X50" s="694"/>
      <c r="Y50" s="695"/>
      <c r="Z50" s="696"/>
      <c r="AA50" s="693"/>
      <c r="AB50" s="689"/>
      <c r="AC50" s="697"/>
      <c r="AD50" s="698"/>
      <c r="AE50" s="699" t="str">
        <f>Einstellungen!C1</f>
        <v>Bearbeiter*in:</v>
      </c>
      <c r="AF50" s="699" t="str">
        <f>Einstellungen!E1</f>
        <v>E. Gerster</v>
      </c>
      <c r="AG50" s="700"/>
      <c r="AH50" s="700"/>
      <c r="AI50" s="700"/>
      <c r="AJ50" s="699"/>
      <c r="AK50" s="701"/>
      <c r="AL50" s="701"/>
      <c r="AM50" s="699"/>
      <c r="AN50" s="702"/>
      <c r="AP50" s="359"/>
      <c r="AQ50" s="359"/>
      <c r="AR50" s="359"/>
      <c r="AS50" s="359"/>
      <c r="AT50" s="359"/>
      <c r="AU50" s="359"/>
      <c r="AV50" s="359"/>
      <c r="AW50" s="359"/>
      <c r="AX50" s="359"/>
      <c r="AY50" s="359"/>
      <c r="AZ50" s="359"/>
      <c r="BA50" s="359"/>
      <c r="BB50" s="359"/>
      <c r="BC50" s="359"/>
      <c r="BD50" s="359"/>
      <c r="BE50" s="359"/>
      <c r="BF50" s="359"/>
      <c r="BG50" s="359"/>
      <c r="BH50" s="359"/>
      <c r="BI50" s="359"/>
      <c r="BJ50" s="359"/>
      <c r="BK50" s="359"/>
      <c r="BL50" s="359"/>
      <c r="BM50" s="359"/>
      <c r="BN50" s="359"/>
      <c r="BO50" s="359"/>
      <c r="BP50" s="359"/>
      <c r="BQ50" s="359"/>
      <c r="BR50" s="359"/>
      <c r="BS50" s="359"/>
      <c r="BT50" s="359"/>
      <c r="BU50" s="359"/>
      <c r="BV50" s="359"/>
      <c r="BW50" s="359"/>
      <c r="BX50" s="359"/>
      <c r="BY50" s="359"/>
      <c r="BZ50" s="359"/>
      <c r="CA50" s="359"/>
      <c r="CB50" s="359"/>
      <c r="CC50" s="359"/>
      <c r="CD50" s="359"/>
      <c r="CE50" s="359"/>
      <c r="CF50" s="359"/>
      <c r="CG50" s="359"/>
      <c r="CH50" s="359"/>
      <c r="CI50" s="359"/>
      <c r="CJ50" s="359"/>
      <c r="CK50" s="359"/>
      <c r="CL50" s="359"/>
      <c r="CM50" s="359"/>
      <c r="CN50" s="359"/>
      <c r="CO50" s="359"/>
      <c r="CP50" s="359"/>
      <c r="CQ50" s="359"/>
      <c r="CR50" s="359"/>
      <c r="CS50" s="359"/>
      <c r="CT50" s="359"/>
      <c r="CU50" s="359"/>
      <c r="CV50" s="359"/>
      <c r="CW50" s="359"/>
      <c r="CX50" s="359"/>
      <c r="CY50" s="359"/>
      <c r="CZ50" s="359"/>
      <c r="DA50" s="359"/>
      <c r="DB50" s="359"/>
      <c r="DC50" s="359"/>
      <c r="DD50" s="359"/>
      <c r="DE50" s="359"/>
      <c r="DF50" s="359"/>
      <c r="DG50" s="359"/>
      <c r="DH50" s="359"/>
      <c r="DI50" s="359"/>
      <c r="DJ50" s="359"/>
      <c r="DK50" s="359"/>
      <c r="DL50" s="359"/>
      <c r="DM50" s="359"/>
      <c r="DN50" s="359"/>
      <c r="DO50" s="359"/>
      <c r="DP50" s="359"/>
      <c r="DQ50" s="359"/>
      <c r="DR50" s="359"/>
      <c r="DS50" s="359"/>
      <c r="DT50" s="359"/>
      <c r="DU50" s="359"/>
      <c r="DV50" s="359"/>
      <c r="DW50" s="359"/>
      <c r="DX50" s="359"/>
      <c r="DY50" s="359"/>
      <c r="DZ50" s="359"/>
      <c r="EA50" s="359"/>
      <c r="EB50" s="359"/>
      <c r="EC50" s="359"/>
      <c r="ED50" s="359"/>
      <c r="EE50" s="359"/>
      <c r="EF50" s="359"/>
      <c r="EG50" s="359"/>
      <c r="EH50" s="359"/>
      <c r="EI50" s="359"/>
      <c r="EJ50" s="359"/>
      <c r="EK50" s="359"/>
      <c r="EL50" s="359"/>
      <c r="EM50" s="359"/>
      <c r="EN50" s="359"/>
      <c r="EO50" s="359"/>
      <c r="EP50" s="359"/>
      <c r="EQ50" s="359"/>
      <c r="ER50" s="359"/>
      <c r="ES50" s="359"/>
      <c r="ET50" s="359"/>
      <c r="EU50" s="359"/>
      <c r="EV50" s="359"/>
      <c r="EW50" s="359"/>
      <c r="EX50" s="359"/>
      <c r="EY50" s="359"/>
      <c r="EZ50" s="359"/>
      <c r="FA50" s="359"/>
      <c r="FB50" s="359"/>
      <c r="FC50" s="359"/>
      <c r="FD50" s="359"/>
      <c r="FE50" s="359"/>
      <c r="FF50" s="359"/>
      <c r="FG50" s="359"/>
      <c r="FH50" s="359"/>
      <c r="FI50" s="359"/>
      <c r="FJ50" s="359"/>
      <c r="FK50" s="359"/>
      <c r="FL50" s="359"/>
      <c r="FM50" s="359"/>
      <c r="FN50" s="359"/>
      <c r="FO50" s="359"/>
      <c r="FP50" s="359"/>
      <c r="FQ50" s="359"/>
      <c r="FR50" s="359"/>
      <c r="FS50" s="359"/>
      <c r="FT50" s="359"/>
      <c r="FU50" s="359"/>
      <c r="FV50" s="359"/>
      <c r="FW50" s="359"/>
      <c r="FX50" s="359"/>
      <c r="FY50" s="359"/>
      <c r="FZ50" s="359"/>
      <c r="GA50" s="359"/>
      <c r="GB50" s="359"/>
    </row>
    <row r="51" spans="1:184" s="371" customFormat="1" ht="3" customHeight="1" thickBot="1" x14ac:dyDescent="0.25">
      <c r="A51" s="368"/>
      <c r="B51" s="368"/>
      <c r="C51" s="368"/>
      <c r="D51" s="368"/>
      <c r="E51" s="368"/>
      <c r="F51" s="368"/>
      <c r="G51" s="369"/>
      <c r="H51" s="368"/>
      <c r="I51" s="368"/>
      <c r="J51" s="368"/>
      <c r="K51" s="368"/>
      <c r="L51" s="368"/>
      <c r="M51" s="368"/>
      <c r="N51" s="368"/>
      <c r="O51" s="368"/>
      <c r="P51" s="368"/>
      <c r="Q51" s="368"/>
      <c r="R51" s="368"/>
      <c r="S51" s="368"/>
      <c r="T51" s="368"/>
      <c r="U51" s="368"/>
      <c r="V51" s="368"/>
      <c r="W51" s="368"/>
      <c r="X51" s="368"/>
      <c r="Y51" s="368"/>
      <c r="Z51" s="368"/>
      <c r="AA51" s="368"/>
      <c r="AB51" s="368"/>
      <c r="AC51" s="368"/>
      <c r="AD51" s="368"/>
      <c r="AE51" s="368"/>
      <c r="AF51" s="368"/>
      <c r="AG51" s="368"/>
      <c r="AH51" s="368"/>
      <c r="AI51" s="368"/>
      <c r="AJ51" s="368"/>
      <c r="AK51" s="368"/>
      <c r="AL51" s="368"/>
      <c r="AM51" s="368"/>
      <c r="AN51" s="370"/>
      <c r="AP51" s="359"/>
      <c r="AQ51" s="359"/>
      <c r="AR51" s="359"/>
      <c r="AS51" s="359"/>
      <c r="AT51" s="359"/>
      <c r="AU51" s="359"/>
      <c r="AV51" s="359"/>
      <c r="AW51" s="359"/>
      <c r="AX51" s="359"/>
      <c r="AY51" s="359"/>
      <c r="AZ51" s="359"/>
      <c r="BA51" s="359"/>
      <c r="BB51" s="359"/>
      <c r="BC51" s="359"/>
      <c r="BD51" s="359"/>
      <c r="BE51" s="359"/>
      <c r="BF51" s="359"/>
      <c r="BG51" s="359"/>
      <c r="BH51" s="359"/>
      <c r="BI51" s="359"/>
      <c r="BJ51" s="359"/>
      <c r="BK51" s="359"/>
      <c r="BL51" s="359"/>
      <c r="BM51" s="359"/>
      <c r="BN51" s="359"/>
      <c r="BO51" s="359"/>
      <c r="BP51" s="359"/>
      <c r="BQ51" s="359"/>
      <c r="BR51" s="359"/>
      <c r="BS51" s="359"/>
      <c r="BT51" s="359"/>
      <c r="BU51" s="359"/>
      <c r="BV51" s="359"/>
      <c r="BW51" s="359"/>
      <c r="BX51" s="359"/>
      <c r="BY51" s="359"/>
      <c r="BZ51" s="359"/>
      <c r="CA51" s="359"/>
      <c r="CB51" s="359"/>
      <c r="CC51" s="359"/>
      <c r="CD51" s="359"/>
      <c r="CE51" s="359"/>
      <c r="CF51" s="359"/>
      <c r="CG51" s="359"/>
      <c r="CH51" s="359"/>
      <c r="CI51" s="359"/>
      <c r="CJ51" s="359"/>
      <c r="CK51" s="359"/>
      <c r="CL51" s="359"/>
      <c r="CM51" s="359"/>
      <c r="CN51" s="359"/>
      <c r="CO51" s="359"/>
      <c r="CP51" s="359"/>
      <c r="CQ51" s="359"/>
      <c r="CR51" s="359"/>
      <c r="CS51" s="359"/>
      <c r="CT51" s="359"/>
      <c r="CU51" s="359"/>
      <c r="CV51" s="359"/>
      <c r="CW51" s="359"/>
      <c r="CX51" s="359"/>
      <c r="CY51" s="359"/>
      <c r="CZ51" s="359"/>
      <c r="DA51" s="359"/>
      <c r="DB51" s="359"/>
      <c r="DC51" s="359"/>
      <c r="DD51" s="359"/>
      <c r="DE51" s="359"/>
      <c r="DF51" s="359"/>
      <c r="DG51" s="359"/>
      <c r="DH51" s="359"/>
      <c r="DI51" s="359"/>
      <c r="DJ51" s="359"/>
      <c r="DK51" s="359"/>
      <c r="DL51" s="359"/>
      <c r="DM51" s="359"/>
      <c r="DN51" s="359"/>
      <c r="DO51" s="359"/>
      <c r="DP51" s="359"/>
      <c r="DQ51" s="359"/>
      <c r="DR51" s="359"/>
      <c r="DS51" s="359"/>
      <c r="DT51" s="359"/>
      <c r="DU51" s="359"/>
      <c r="DV51" s="359"/>
      <c r="DW51" s="359"/>
      <c r="DX51" s="359"/>
      <c r="DY51" s="359"/>
      <c r="DZ51" s="359"/>
      <c r="EA51" s="359"/>
      <c r="EB51" s="359"/>
      <c r="EC51" s="359"/>
      <c r="ED51" s="359"/>
      <c r="EE51" s="359"/>
      <c r="EF51" s="359"/>
      <c r="EG51" s="359"/>
      <c r="EH51" s="359"/>
      <c r="EI51" s="359"/>
      <c r="EJ51" s="359"/>
      <c r="EK51" s="359"/>
      <c r="EL51" s="359"/>
      <c r="EM51" s="359"/>
      <c r="EN51" s="359"/>
      <c r="EO51" s="359"/>
      <c r="EP51" s="359"/>
      <c r="EQ51" s="359"/>
      <c r="ER51" s="359"/>
      <c r="ES51" s="359"/>
      <c r="ET51" s="359"/>
      <c r="EU51" s="359"/>
      <c r="EV51" s="359"/>
      <c r="EW51" s="359"/>
      <c r="EX51" s="359"/>
      <c r="EY51" s="359"/>
      <c r="EZ51" s="359"/>
      <c r="FA51" s="359"/>
      <c r="FB51" s="359"/>
      <c r="FC51" s="359"/>
      <c r="FD51" s="359"/>
      <c r="FE51" s="359"/>
      <c r="FF51" s="359"/>
      <c r="FG51" s="359"/>
      <c r="FH51" s="359"/>
      <c r="FI51" s="359"/>
      <c r="FJ51" s="359"/>
      <c r="FK51" s="359"/>
      <c r="FL51" s="359"/>
      <c r="FM51" s="359"/>
      <c r="FN51" s="359"/>
      <c r="FO51" s="359"/>
      <c r="FP51" s="359"/>
      <c r="FQ51" s="359"/>
      <c r="FR51" s="359"/>
      <c r="FS51" s="359"/>
      <c r="FT51" s="359"/>
      <c r="FU51" s="359"/>
      <c r="FV51" s="359"/>
      <c r="FW51" s="359"/>
      <c r="FX51" s="359"/>
      <c r="FY51" s="359"/>
      <c r="FZ51" s="359"/>
      <c r="GA51" s="359"/>
      <c r="GB51" s="359"/>
    </row>
    <row r="52" spans="1:184" s="359" customFormat="1" ht="12.75" hidden="1" thickTop="1" x14ac:dyDescent="0.2">
      <c r="A52" s="358"/>
      <c r="B52" s="27"/>
      <c r="C52" s="27"/>
      <c r="D52" s="27"/>
      <c r="E52" s="27"/>
      <c r="F52" s="27"/>
      <c r="G52" s="16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372"/>
      <c r="AI52" s="372"/>
      <c r="AJ52" s="372"/>
      <c r="AK52" s="372"/>
      <c r="AL52" s="372"/>
      <c r="AM52" s="372"/>
      <c r="AN52" s="373"/>
      <c r="AO52" s="27"/>
    </row>
    <row r="53" spans="1:184" s="359" customFormat="1" hidden="1" x14ac:dyDescent="0.2">
      <c r="A53" s="358"/>
      <c r="B53" s="27"/>
      <c r="C53" s="27"/>
      <c r="D53" s="27"/>
      <c r="E53" s="27"/>
      <c r="F53" s="27"/>
      <c r="G53" s="16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372"/>
      <c r="AI53" s="372"/>
      <c r="AJ53" s="372"/>
      <c r="AK53" s="372"/>
      <c r="AL53" s="372"/>
      <c r="AM53" s="372"/>
      <c r="AN53" s="373"/>
      <c r="AO53" s="27"/>
    </row>
    <row r="54" spans="1:184" s="359" customFormat="1" hidden="1" x14ac:dyDescent="0.2">
      <c r="A54" s="358"/>
      <c r="B54" s="27"/>
      <c r="C54" s="374"/>
      <c r="D54" s="27"/>
      <c r="E54" s="27"/>
      <c r="F54" s="27"/>
      <c r="G54" s="16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372"/>
      <c r="AI54" s="372"/>
      <c r="AJ54" s="372"/>
      <c r="AK54" s="372"/>
      <c r="AL54" s="372"/>
      <c r="AM54" s="372"/>
      <c r="AN54" s="373"/>
      <c r="AO54" s="27"/>
    </row>
    <row r="55" spans="1:184" s="359" customFormat="1" hidden="1" x14ac:dyDescent="0.2">
      <c r="A55" s="358"/>
      <c r="B55" s="27"/>
      <c r="C55" s="374"/>
      <c r="D55" s="27"/>
      <c r="E55" s="27"/>
      <c r="F55" s="27"/>
      <c r="G55" s="167"/>
      <c r="H55" s="27"/>
      <c r="I55" s="374"/>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372"/>
      <c r="AI55" s="372"/>
      <c r="AJ55" s="372"/>
      <c r="AK55" s="372"/>
      <c r="AL55" s="372"/>
      <c r="AM55" s="372"/>
      <c r="AN55" s="373"/>
      <c r="AO55" s="27"/>
    </row>
    <row r="56" spans="1:184" s="359" customFormat="1" hidden="1" x14ac:dyDescent="0.2">
      <c r="A56" s="358"/>
      <c r="B56" s="27"/>
      <c r="C56" s="374"/>
      <c r="D56" s="27"/>
      <c r="E56" s="27"/>
      <c r="F56" s="27"/>
      <c r="G56" s="167"/>
      <c r="H56" s="27"/>
      <c r="I56" s="374"/>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372"/>
      <c r="AI56" s="372"/>
      <c r="AJ56" s="372"/>
      <c r="AK56" s="372"/>
      <c r="AL56" s="372"/>
      <c r="AM56" s="372"/>
      <c r="AN56" s="373"/>
      <c r="AO56" s="27"/>
    </row>
    <row r="57" spans="1:184" s="359" customFormat="1" hidden="1" x14ac:dyDescent="0.2">
      <c r="A57" s="358"/>
      <c r="B57" s="27"/>
      <c r="C57" s="27"/>
      <c r="D57" s="27"/>
      <c r="E57" s="27"/>
      <c r="F57" s="27"/>
      <c r="G57" s="167"/>
      <c r="H57" s="27"/>
      <c r="I57" s="374"/>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372"/>
      <c r="AI57" s="372"/>
      <c r="AJ57" s="372"/>
      <c r="AK57" s="372"/>
      <c r="AL57" s="372"/>
      <c r="AM57" s="372"/>
      <c r="AN57" s="373"/>
      <c r="AO57" s="27"/>
    </row>
    <row r="58" spans="1:184" s="359" customFormat="1" hidden="1" x14ac:dyDescent="0.2">
      <c r="A58" s="358"/>
      <c r="B58" s="27"/>
      <c r="C58" s="27"/>
      <c r="D58" s="27"/>
      <c r="E58" s="27"/>
      <c r="F58" s="27"/>
      <c r="G58" s="167"/>
      <c r="H58" s="27"/>
      <c r="I58" s="374"/>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372"/>
      <c r="AI58" s="372"/>
      <c r="AJ58" s="372"/>
      <c r="AK58" s="372"/>
      <c r="AL58" s="372"/>
      <c r="AM58" s="372"/>
      <c r="AN58" s="373"/>
      <c r="AO58" s="27"/>
    </row>
    <row r="59" spans="1:184" s="359" customFormat="1" hidden="1" x14ac:dyDescent="0.2">
      <c r="A59" s="358"/>
      <c r="B59" s="27"/>
      <c r="C59" s="27"/>
      <c r="D59" s="27"/>
      <c r="E59" s="27"/>
      <c r="F59" s="27"/>
      <c r="G59" s="167"/>
      <c r="H59" s="27"/>
      <c r="I59" s="374"/>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372"/>
      <c r="AI59" s="372"/>
      <c r="AJ59" s="372"/>
      <c r="AK59" s="372"/>
      <c r="AL59" s="372"/>
      <c r="AM59" s="372"/>
      <c r="AN59" s="373"/>
      <c r="AO59" s="27"/>
    </row>
    <row r="60" spans="1:184" s="359" customFormat="1" hidden="1" x14ac:dyDescent="0.2">
      <c r="A60" s="358"/>
      <c r="B60" s="27"/>
      <c r="C60" s="27"/>
      <c r="D60" s="27"/>
      <c r="E60" s="27"/>
      <c r="F60" s="27"/>
      <c r="G60" s="167"/>
      <c r="H60" s="27"/>
      <c r="I60" s="374"/>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372"/>
      <c r="AI60" s="372"/>
      <c r="AJ60" s="372"/>
      <c r="AK60" s="372"/>
      <c r="AL60" s="372"/>
      <c r="AM60" s="372"/>
      <c r="AN60" s="373"/>
      <c r="AO60" s="27"/>
    </row>
    <row r="61" spans="1:184" s="359" customFormat="1" ht="12.75" thickTop="1" x14ac:dyDescent="0.2">
      <c r="A61" s="358"/>
      <c r="B61" s="372"/>
      <c r="C61" s="372"/>
      <c r="D61" s="372"/>
      <c r="E61" s="372"/>
      <c r="F61" s="372"/>
      <c r="G61" s="375"/>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c r="AJ61" s="372"/>
      <c r="AK61" s="372"/>
      <c r="AL61" s="372"/>
      <c r="AM61" s="372"/>
      <c r="AN61" s="373"/>
      <c r="AO61" s="27"/>
    </row>
    <row r="62" spans="1:184" x14ac:dyDescent="0.2">
      <c r="B62" s="170"/>
      <c r="C62" s="170"/>
      <c r="D62" s="170"/>
      <c r="E62" s="170"/>
      <c r="F62" s="170"/>
      <c r="G62" s="312"/>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row>
  </sheetData>
  <sheetProtection algorithmName="SHA-512" hashValue="J4wIxn+xjp8Nck47YsK4vZl0uOl75+C2olbhfEqWpS7+b8tqmRqWokCgh8inctQbEJ0/rrbXVshAdsiAX3xeCg==" saltValue="Zn1MsKMVN77hLbE1htnDZA==" spinCount="100000" sheet="1" objects="1" scenarios="1" formatColumns="0"/>
  <customSheetViews>
    <customSheetView guid="{2DEE39A3-88C5-4D7F-AEB9-0B43FD431165}" scale="110" showGridLines="0" zeroValues="0" fitToPage="1" hiddenRows="1" hiddenColumns="1" topLeftCell="A10">
      <selection activeCell="U15" sqref="U15"/>
      <pageMargins left="0.31496062992125984" right="0.31496062992125984" top="0.70866141732283472" bottom="0.35433070866141736" header="0.51181102362204722" footer="0.11811023622047245"/>
      <printOptions horizontalCentered="1"/>
      <pageSetup paperSize="9" scale="63" orientation="landscape" r:id="rId1"/>
      <headerFooter>
        <oddFooter>&amp;L&amp;F&amp;A&amp;R&amp;D  &amp;T</oddFooter>
      </headerFooter>
    </customSheetView>
    <customSheetView guid="{117F828A-4542-4D18-9CDB-B606529AAD66}" scale="120" showGridLines="0" showRowCol="0" zeroValues="0" fitToPage="1" hiddenRows="1" hiddenColumns="1" topLeftCell="B1">
      <selection activeCell="B37" sqref="B37"/>
      <pageMargins left="0.31496062992125984" right="0.31496062992125984" top="0.70866141732283472" bottom="0.35433070866141736" header="0.51181102362204722" footer="0.11811023622047245"/>
      <printOptions horizontalCentered="1"/>
      <pageSetup paperSize="9" scale="62" orientation="landscape" r:id="rId2"/>
      <headerFooter>
        <oddFooter>&amp;L&amp;F&amp;A&amp;R&amp;D  &amp;T</oddFooter>
      </headerFooter>
    </customSheetView>
  </customSheetViews>
  <mergeCells count="12">
    <mergeCell ref="AM40:AM41"/>
    <mergeCell ref="D35:G36"/>
    <mergeCell ref="D26:G27"/>
    <mergeCell ref="D19:G19"/>
    <mergeCell ref="AA2:AC2"/>
    <mergeCell ref="I8:I9"/>
    <mergeCell ref="V17:AK17"/>
    <mergeCell ref="M12:W12"/>
    <mergeCell ref="K14:W14"/>
    <mergeCell ref="F10:G10"/>
    <mergeCell ref="F11:G11"/>
    <mergeCell ref="F12:G12"/>
  </mergeCells>
  <phoneticPr fontId="8" type="noConversion"/>
  <conditionalFormatting sqref="G20:G24 G28:G31 G37:G38">
    <cfRule type="containsText" dxfId="40" priority="10" operator="containsText" text="G">
      <formula>NOT(ISERROR(SEARCH("G",G20)))</formula>
    </cfRule>
  </conditionalFormatting>
  <conditionalFormatting sqref="I20:U24 U28:U31 I29:J29 M29 O29:T29 O32:U32 U37:U38">
    <cfRule type="containsBlanks" priority="39">
      <formula>LEN(TRIM(I20))=0</formula>
    </cfRule>
  </conditionalFormatting>
  <conditionalFormatting sqref="K20:K27 L25:U25">
    <cfRule type="cellIs" dxfId="39" priority="51" stopIfTrue="1" operator="equal">
      <formula>0</formula>
    </cfRule>
  </conditionalFormatting>
  <conditionalFormatting sqref="K28:K32">
    <cfRule type="cellIs" dxfId="38" priority="9" stopIfTrue="1" operator="equal">
      <formula>0</formula>
    </cfRule>
  </conditionalFormatting>
  <conditionalFormatting sqref="K35:K38">
    <cfRule type="cellIs" dxfId="37" priority="7" stopIfTrue="1" operator="equal">
      <formula>0</formula>
    </cfRule>
  </conditionalFormatting>
  <conditionalFormatting sqref="K28:L32">
    <cfRule type="containsBlanks" priority="8">
      <formula>LEN(TRIM(K28))=0</formula>
    </cfRule>
  </conditionalFormatting>
  <conditionalFormatting sqref="K37:L38">
    <cfRule type="containsBlanks" priority="6">
      <formula>LEN(TRIM(K37))=0</formula>
    </cfRule>
  </conditionalFormatting>
  <conditionalFormatting sqref="M26">
    <cfRule type="cellIs" dxfId="36" priority="1" stopIfTrue="1" operator="equal">
      <formula>0</formula>
    </cfRule>
  </conditionalFormatting>
  <conditionalFormatting sqref="N28:N32 N37:N38">
    <cfRule type="containsBlanks" priority="4">
      <formula>LEN(TRIM(N28))=0</formula>
    </cfRule>
  </conditionalFormatting>
  <conditionalFormatting sqref="N33:U33">
    <cfRule type="cellIs" dxfId="35" priority="2" stopIfTrue="1" operator="equal">
      <formula>0</formula>
    </cfRule>
  </conditionalFormatting>
  <conditionalFormatting sqref="W42:AM42 Y48:AH48">
    <cfRule type="cellIs" dxfId="34" priority="35" operator="notEqual">
      <formula>""</formula>
    </cfRule>
    <cfRule type="containsText" dxfId="33" priority="36" operator="containsText" text="&quot;&quot;">
      <formula>NOT(ISERROR(SEARCH("""""",W42)))</formula>
    </cfRule>
  </conditionalFormatting>
  <conditionalFormatting sqref="Y48:AH48 W42:AM42">
    <cfRule type="containsText" dxfId="32" priority="33" operator="containsText" text="!">
      <formula>NOT(ISERROR(SEARCH("!",W42)))</formula>
    </cfRule>
  </conditionalFormatting>
  <conditionalFormatting sqref="AB42">
    <cfRule type="containsText" dxfId="31" priority="11" operator="containsText" text="k.A.">
      <formula>NOT(ISERROR(SEARCH("k.A.",AB42)))</formula>
    </cfRule>
  </conditionalFormatting>
  <conditionalFormatting sqref="AE48:AF48">
    <cfRule type="containsText" dxfId="30" priority="23" operator="containsText" text="k.A.">
      <formula>NOT(ISERROR(SEARCH("k.A.",AE48)))</formula>
    </cfRule>
  </conditionalFormatting>
  <conditionalFormatting sqref="AM48">
    <cfRule type="containsText" dxfId="29" priority="16" operator="containsText" text="!">
      <formula>NOT(ISERROR(SEARCH("!",AM48)))</formula>
    </cfRule>
  </conditionalFormatting>
  <conditionalFormatting sqref="AN20:AN38">
    <cfRule type="containsText" dxfId="28" priority="22" operator="containsText" text="?">
      <formula>NOT(ISERROR(SEARCH("?",AN20)))</formula>
    </cfRule>
  </conditionalFormatting>
  <printOptions horizontalCentered="1"/>
  <pageMargins left="0.31496062992125984" right="0.31496062992125984" top="0.70866141732283472" bottom="0.35433070866141736" header="0.51181102362204722" footer="0.11811023622047245"/>
  <pageSetup paperSize="9" scale="61" orientation="landscape" r:id="rId3"/>
  <headerFooter>
    <oddFooter>&amp;L&amp;F&amp;A&amp;R&amp;D  &amp;T</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056" r:id="rId6" name="Drop Down 32">
              <controlPr locked="0" defaultSize="0" print="0" autoFill="0" autoLine="0" autoPict="0">
                <anchor moveWithCells="1">
                  <from>
                    <xdr:col>2</xdr:col>
                    <xdr:colOff>0</xdr:colOff>
                    <xdr:row>20</xdr:row>
                    <xdr:rowOff>0</xdr:rowOff>
                  </from>
                  <to>
                    <xdr:col>6</xdr:col>
                    <xdr:colOff>28575</xdr:colOff>
                    <xdr:row>21</xdr:row>
                    <xdr:rowOff>0</xdr:rowOff>
                  </to>
                </anchor>
              </controlPr>
            </control>
          </mc:Choice>
        </mc:AlternateContent>
        <mc:AlternateContent xmlns:mc="http://schemas.openxmlformats.org/markup-compatibility/2006">
          <mc:Choice Requires="x14">
            <control shapeId="1057" r:id="rId7" name="Drop Down 33">
              <controlPr locked="0" defaultSize="0" print="0" autoFill="0" autoLine="0" autoPict="0">
                <anchor moveWithCells="1">
                  <from>
                    <xdr:col>2</xdr:col>
                    <xdr:colOff>0</xdr:colOff>
                    <xdr:row>21</xdr:row>
                    <xdr:rowOff>9525</xdr:rowOff>
                  </from>
                  <to>
                    <xdr:col>6</xdr:col>
                    <xdr:colOff>28575</xdr:colOff>
                    <xdr:row>22</xdr:row>
                    <xdr:rowOff>0</xdr:rowOff>
                  </to>
                </anchor>
              </controlPr>
            </control>
          </mc:Choice>
        </mc:AlternateContent>
        <mc:AlternateContent xmlns:mc="http://schemas.openxmlformats.org/markup-compatibility/2006">
          <mc:Choice Requires="x14">
            <control shapeId="1058" r:id="rId8" name="Drop Down 34">
              <controlPr locked="0" defaultSize="0" print="0" autoFill="0" autoLine="0" autoPict="0">
                <anchor moveWithCells="1">
                  <from>
                    <xdr:col>2</xdr:col>
                    <xdr:colOff>0</xdr:colOff>
                    <xdr:row>22</xdr:row>
                    <xdr:rowOff>0</xdr:rowOff>
                  </from>
                  <to>
                    <xdr:col>6</xdr:col>
                    <xdr:colOff>28575</xdr:colOff>
                    <xdr:row>23</xdr:row>
                    <xdr:rowOff>0</xdr:rowOff>
                  </to>
                </anchor>
              </controlPr>
            </control>
          </mc:Choice>
        </mc:AlternateContent>
        <mc:AlternateContent xmlns:mc="http://schemas.openxmlformats.org/markup-compatibility/2006">
          <mc:Choice Requires="x14">
            <control shapeId="1071" r:id="rId9" name="Drop Down 47">
              <controlPr locked="0" defaultSize="0" print="0" autoFill="0" autoLine="0" autoPict="0">
                <anchor moveWithCells="1">
                  <from>
                    <xdr:col>2</xdr:col>
                    <xdr:colOff>0</xdr:colOff>
                    <xdr:row>27</xdr:row>
                    <xdr:rowOff>0</xdr:rowOff>
                  </from>
                  <to>
                    <xdr:col>6</xdr:col>
                    <xdr:colOff>28575</xdr:colOff>
                    <xdr:row>28</xdr:row>
                    <xdr:rowOff>19050</xdr:rowOff>
                  </to>
                </anchor>
              </controlPr>
            </control>
          </mc:Choice>
        </mc:AlternateContent>
        <mc:AlternateContent xmlns:mc="http://schemas.openxmlformats.org/markup-compatibility/2006">
          <mc:Choice Requires="x14">
            <control shapeId="1073" r:id="rId10" name="Drop Down 49">
              <controlPr locked="0" defaultSize="0" print="0" autoFill="0" autoLine="0" autoPict="0">
                <anchor moveWithCells="1">
                  <from>
                    <xdr:col>2</xdr:col>
                    <xdr:colOff>0</xdr:colOff>
                    <xdr:row>36</xdr:row>
                    <xdr:rowOff>0</xdr:rowOff>
                  </from>
                  <to>
                    <xdr:col>6</xdr:col>
                    <xdr:colOff>28575</xdr:colOff>
                    <xdr:row>37</xdr:row>
                    <xdr:rowOff>0</xdr:rowOff>
                  </to>
                </anchor>
              </controlPr>
            </control>
          </mc:Choice>
        </mc:AlternateContent>
        <mc:AlternateContent xmlns:mc="http://schemas.openxmlformats.org/markup-compatibility/2006">
          <mc:Choice Requires="x14">
            <control shapeId="1075" r:id="rId11" name="Drop Down 51">
              <controlPr locked="0" defaultSize="0" print="0" autoFill="0" autoLine="0" autoPict="0">
                <anchor moveWithCells="1">
                  <from>
                    <xdr:col>2</xdr:col>
                    <xdr:colOff>0</xdr:colOff>
                    <xdr:row>29</xdr:row>
                    <xdr:rowOff>219075</xdr:rowOff>
                  </from>
                  <to>
                    <xdr:col>6</xdr:col>
                    <xdr:colOff>28575</xdr:colOff>
                    <xdr:row>31</xdr:row>
                    <xdr:rowOff>0</xdr:rowOff>
                  </to>
                </anchor>
              </controlPr>
            </control>
          </mc:Choice>
        </mc:AlternateContent>
        <mc:AlternateContent xmlns:mc="http://schemas.openxmlformats.org/markup-compatibility/2006">
          <mc:Choice Requires="x14">
            <control shapeId="1139" r:id="rId12" name="Drop Down 115">
              <controlPr locked="0" defaultSize="0" print="0" autoFill="0" autoLine="0" autoPict="0">
                <anchor moveWithCells="1">
                  <from>
                    <xdr:col>2</xdr:col>
                    <xdr:colOff>0</xdr:colOff>
                    <xdr:row>27</xdr:row>
                    <xdr:rowOff>219075</xdr:rowOff>
                  </from>
                  <to>
                    <xdr:col>6</xdr:col>
                    <xdr:colOff>28575</xdr:colOff>
                    <xdr:row>29</xdr:row>
                    <xdr:rowOff>0</xdr:rowOff>
                  </to>
                </anchor>
              </controlPr>
            </control>
          </mc:Choice>
        </mc:AlternateContent>
        <mc:AlternateContent xmlns:mc="http://schemas.openxmlformats.org/markup-compatibility/2006">
          <mc:Choice Requires="x14">
            <control shapeId="1151" r:id="rId13" name="Group Box 127">
              <controlPr defaultSize="0" print="0" autoFill="0" autoPict="0">
                <anchor moveWithCells="1">
                  <from>
                    <xdr:col>2</xdr:col>
                    <xdr:colOff>0</xdr:colOff>
                    <xdr:row>3</xdr:row>
                    <xdr:rowOff>9525</xdr:rowOff>
                  </from>
                  <to>
                    <xdr:col>6</xdr:col>
                    <xdr:colOff>352425</xdr:colOff>
                    <xdr:row>6</xdr:row>
                    <xdr:rowOff>9525</xdr:rowOff>
                  </to>
                </anchor>
              </controlPr>
            </control>
          </mc:Choice>
        </mc:AlternateContent>
        <mc:AlternateContent xmlns:mc="http://schemas.openxmlformats.org/markup-compatibility/2006">
          <mc:Choice Requires="x14">
            <control shapeId="1193" r:id="rId14" name="Group Box 169">
              <controlPr defaultSize="0" autoFill="0" autoPict="0">
                <anchor moveWithCells="1">
                  <from>
                    <xdr:col>8</xdr:col>
                    <xdr:colOff>0</xdr:colOff>
                    <xdr:row>3</xdr:row>
                    <xdr:rowOff>9525</xdr:rowOff>
                  </from>
                  <to>
                    <xdr:col>13</xdr:col>
                    <xdr:colOff>0</xdr:colOff>
                    <xdr:row>6</xdr:row>
                    <xdr:rowOff>9525</xdr:rowOff>
                  </to>
                </anchor>
              </controlPr>
            </control>
          </mc:Choice>
        </mc:AlternateContent>
        <mc:AlternateContent xmlns:mc="http://schemas.openxmlformats.org/markup-compatibility/2006">
          <mc:Choice Requires="x14">
            <control shapeId="1194" r:id="rId15" name="Option Button 170">
              <controlPr locked="0" defaultSize="0" autoFill="0" autoLine="0" autoPict="0">
                <anchor moveWithCells="1">
                  <from>
                    <xdr:col>8</xdr:col>
                    <xdr:colOff>390525</xdr:colOff>
                    <xdr:row>3</xdr:row>
                    <xdr:rowOff>142875</xdr:rowOff>
                  </from>
                  <to>
                    <xdr:col>8</xdr:col>
                    <xdr:colOff>685800</xdr:colOff>
                    <xdr:row>4</xdr:row>
                    <xdr:rowOff>152400</xdr:rowOff>
                  </to>
                </anchor>
              </controlPr>
            </control>
          </mc:Choice>
        </mc:AlternateContent>
        <mc:AlternateContent xmlns:mc="http://schemas.openxmlformats.org/markup-compatibility/2006">
          <mc:Choice Requires="x14">
            <control shapeId="1195" r:id="rId16" name="Option Button 171">
              <controlPr locked="0" defaultSize="0" autoFill="0" autoLine="0" autoPict="0">
                <anchor moveWithCells="1">
                  <from>
                    <xdr:col>8</xdr:col>
                    <xdr:colOff>390525</xdr:colOff>
                    <xdr:row>4</xdr:row>
                    <xdr:rowOff>133350</xdr:rowOff>
                  </from>
                  <to>
                    <xdr:col>8</xdr:col>
                    <xdr:colOff>685800</xdr:colOff>
                    <xdr:row>5</xdr:row>
                    <xdr:rowOff>152400</xdr:rowOff>
                  </to>
                </anchor>
              </controlPr>
            </control>
          </mc:Choice>
        </mc:AlternateContent>
        <mc:AlternateContent xmlns:mc="http://schemas.openxmlformats.org/markup-compatibility/2006">
          <mc:Choice Requires="x14">
            <control shapeId="1207" r:id="rId17" name="Drop Down 183">
              <controlPr locked="0" defaultSize="0" print="0" autoFill="0" autoLine="0" autoPict="0">
                <anchor moveWithCells="1">
                  <from>
                    <xdr:col>2</xdr:col>
                    <xdr:colOff>0</xdr:colOff>
                    <xdr:row>36</xdr:row>
                    <xdr:rowOff>219075</xdr:rowOff>
                  </from>
                  <to>
                    <xdr:col>6</xdr:col>
                    <xdr:colOff>28575</xdr:colOff>
                    <xdr:row>37</xdr:row>
                    <xdr:rowOff>228600</xdr:rowOff>
                  </to>
                </anchor>
              </controlPr>
            </control>
          </mc:Choice>
        </mc:AlternateContent>
        <mc:AlternateContent xmlns:mc="http://schemas.openxmlformats.org/markup-compatibility/2006">
          <mc:Choice Requires="x14">
            <control shapeId="2" r:id="rId18" name="Option Button 184">
              <controlPr locked="0" defaultSize="0" autoFill="0" autoLine="0" autoPict="0">
                <anchor moveWithCells="1">
                  <from>
                    <xdr:col>3</xdr:col>
                    <xdr:colOff>38100</xdr:colOff>
                    <xdr:row>3</xdr:row>
                    <xdr:rowOff>9525</xdr:rowOff>
                  </from>
                  <to>
                    <xdr:col>3</xdr:col>
                    <xdr:colOff>342900</xdr:colOff>
                    <xdr:row>4</xdr:row>
                    <xdr:rowOff>28575</xdr:rowOff>
                  </to>
                </anchor>
              </controlPr>
            </control>
          </mc:Choice>
        </mc:AlternateContent>
        <mc:AlternateContent xmlns:mc="http://schemas.openxmlformats.org/markup-compatibility/2006">
          <mc:Choice Requires="x14">
            <control shapeId="3" r:id="rId19" name="Option Button 185">
              <controlPr locked="0" defaultSize="0" autoFill="0" autoLine="0" autoPict="0">
                <anchor moveWithCells="1">
                  <from>
                    <xdr:col>3</xdr:col>
                    <xdr:colOff>38100</xdr:colOff>
                    <xdr:row>3</xdr:row>
                    <xdr:rowOff>171450</xdr:rowOff>
                  </from>
                  <to>
                    <xdr:col>3</xdr:col>
                    <xdr:colOff>342900</xdr:colOff>
                    <xdr:row>4</xdr:row>
                    <xdr:rowOff>190500</xdr:rowOff>
                  </to>
                </anchor>
              </controlPr>
            </control>
          </mc:Choice>
        </mc:AlternateContent>
        <mc:AlternateContent xmlns:mc="http://schemas.openxmlformats.org/markup-compatibility/2006">
          <mc:Choice Requires="x14">
            <control shapeId="4" r:id="rId20" name="Option Button 186">
              <controlPr locked="0" defaultSize="0" autoFill="0" autoLine="0" autoPict="0">
                <anchor moveWithCells="1">
                  <from>
                    <xdr:col>3</xdr:col>
                    <xdr:colOff>38100</xdr:colOff>
                    <xdr:row>4</xdr:row>
                    <xdr:rowOff>133350</xdr:rowOff>
                  </from>
                  <to>
                    <xdr:col>3</xdr:col>
                    <xdr:colOff>342900</xdr:colOff>
                    <xdr:row>5</xdr:row>
                    <xdr:rowOff>152400</xdr:rowOff>
                  </to>
                </anchor>
              </controlPr>
            </control>
          </mc:Choice>
        </mc:AlternateContent>
        <mc:AlternateContent xmlns:mc="http://schemas.openxmlformats.org/markup-compatibility/2006">
          <mc:Choice Requires="x14">
            <control shapeId="1215" r:id="rId21" name="Drop Down 191">
              <controlPr locked="0" defaultSize="0" print="0" autoFill="0" autoLine="0" autoPict="0">
                <anchor moveWithCells="1">
                  <from>
                    <xdr:col>2</xdr:col>
                    <xdr:colOff>0</xdr:colOff>
                    <xdr:row>22</xdr:row>
                    <xdr:rowOff>238125</xdr:rowOff>
                  </from>
                  <to>
                    <xdr:col>6</xdr:col>
                    <xdr:colOff>28575</xdr:colOff>
                    <xdr:row>24</xdr:row>
                    <xdr:rowOff>0</xdr:rowOff>
                  </to>
                </anchor>
              </controlPr>
            </control>
          </mc:Choice>
        </mc:AlternateContent>
        <mc:AlternateContent xmlns:mc="http://schemas.openxmlformats.org/markup-compatibility/2006">
          <mc:Choice Requires="x14">
            <control shapeId="1216" r:id="rId22" name="Drop Down 192">
              <controlPr locked="0" defaultSize="0" print="0" autoFill="0" autoLine="0" autoPict="0">
                <anchor moveWithCells="1">
                  <from>
                    <xdr:col>2</xdr:col>
                    <xdr:colOff>0</xdr:colOff>
                    <xdr:row>28</xdr:row>
                    <xdr:rowOff>228600</xdr:rowOff>
                  </from>
                  <to>
                    <xdr:col>6</xdr:col>
                    <xdr:colOff>28575</xdr:colOff>
                    <xdr:row>29</xdr:row>
                    <xdr:rowOff>219075</xdr:rowOff>
                  </to>
                </anchor>
              </controlPr>
            </control>
          </mc:Choice>
        </mc:AlternateContent>
        <mc:AlternateContent xmlns:mc="http://schemas.openxmlformats.org/markup-compatibility/2006">
          <mc:Choice Requires="x14">
            <control shapeId="1223" r:id="rId23" name="Group Box 199">
              <controlPr locked="0" defaultSize="0" autoFill="0" autoPict="0">
                <anchor moveWithCells="1">
                  <from>
                    <xdr:col>4</xdr:col>
                    <xdr:colOff>0</xdr:colOff>
                    <xdr:row>9</xdr:row>
                    <xdr:rowOff>0</xdr:rowOff>
                  </from>
                  <to>
                    <xdr:col>6</xdr:col>
                    <xdr:colOff>352425</xdr:colOff>
                    <xdr:row>12</xdr:row>
                    <xdr:rowOff>0</xdr:rowOff>
                  </to>
                </anchor>
              </controlPr>
            </control>
          </mc:Choice>
        </mc:AlternateContent>
        <mc:AlternateContent xmlns:mc="http://schemas.openxmlformats.org/markup-compatibility/2006">
          <mc:Choice Requires="x14">
            <control shapeId="1228" r:id="rId24" name="Group Box 204">
              <controlPr defaultSize="0" autoFill="0" autoPict="0">
                <anchor moveWithCells="1">
                  <from>
                    <xdr:col>2</xdr:col>
                    <xdr:colOff>0</xdr:colOff>
                    <xdr:row>9</xdr:row>
                    <xdr:rowOff>0</xdr:rowOff>
                  </from>
                  <to>
                    <xdr:col>4</xdr:col>
                    <xdr:colOff>0</xdr:colOff>
                    <xdr:row>12</xdr:row>
                    <xdr:rowOff>0</xdr:rowOff>
                  </to>
                </anchor>
              </controlPr>
            </control>
          </mc:Choice>
        </mc:AlternateContent>
        <mc:AlternateContent xmlns:mc="http://schemas.openxmlformats.org/markup-compatibility/2006">
          <mc:Choice Requires="x14">
            <control shapeId="1229" r:id="rId25" name="Option Button 205">
              <controlPr locked="0" defaultSize="0" autoFill="0" autoLine="0" autoPict="0">
                <anchor moveWithCells="1">
                  <from>
                    <xdr:col>3</xdr:col>
                    <xdr:colOff>47625</xdr:colOff>
                    <xdr:row>9</xdr:row>
                    <xdr:rowOff>47625</xdr:rowOff>
                  </from>
                  <to>
                    <xdr:col>3</xdr:col>
                    <xdr:colOff>1162050</xdr:colOff>
                    <xdr:row>10</xdr:row>
                    <xdr:rowOff>38100</xdr:rowOff>
                  </to>
                </anchor>
              </controlPr>
            </control>
          </mc:Choice>
        </mc:AlternateContent>
        <mc:AlternateContent xmlns:mc="http://schemas.openxmlformats.org/markup-compatibility/2006">
          <mc:Choice Requires="x14">
            <control shapeId="1230" r:id="rId26" name="Option Button 206">
              <controlPr locked="0" defaultSize="0" autoFill="0" autoLine="0" autoPict="0">
                <anchor moveWithCells="1">
                  <from>
                    <xdr:col>3</xdr:col>
                    <xdr:colOff>57150</xdr:colOff>
                    <xdr:row>10</xdr:row>
                    <xdr:rowOff>257175</xdr:rowOff>
                  </from>
                  <to>
                    <xdr:col>3</xdr:col>
                    <xdr:colOff>1504950</xdr:colOff>
                    <xdr:row>12</xdr:row>
                    <xdr:rowOff>0</xdr:rowOff>
                  </to>
                </anchor>
              </controlPr>
            </control>
          </mc:Choice>
        </mc:AlternateContent>
        <mc:AlternateContent xmlns:mc="http://schemas.openxmlformats.org/markup-compatibility/2006">
          <mc:Choice Requires="x14">
            <control shapeId="1231" r:id="rId27" name="Option Button 207">
              <controlPr locked="0" defaultSize="0" autoFill="0" autoLine="0" autoPict="0">
                <anchor moveWithCells="1">
                  <from>
                    <xdr:col>4</xdr:col>
                    <xdr:colOff>47625</xdr:colOff>
                    <xdr:row>9</xdr:row>
                    <xdr:rowOff>19050</xdr:rowOff>
                  </from>
                  <to>
                    <xdr:col>5</xdr:col>
                    <xdr:colOff>85725</xdr:colOff>
                    <xdr:row>10</xdr:row>
                    <xdr:rowOff>9525</xdr:rowOff>
                  </to>
                </anchor>
              </controlPr>
            </control>
          </mc:Choice>
        </mc:AlternateContent>
        <mc:AlternateContent xmlns:mc="http://schemas.openxmlformats.org/markup-compatibility/2006">
          <mc:Choice Requires="x14">
            <control shapeId="1232" r:id="rId28" name="Option Button 208">
              <controlPr locked="0" defaultSize="0" autoFill="0" autoLine="0" autoPict="0">
                <anchor moveWithCells="1">
                  <from>
                    <xdr:col>4</xdr:col>
                    <xdr:colOff>47625</xdr:colOff>
                    <xdr:row>10</xdr:row>
                    <xdr:rowOff>19050</xdr:rowOff>
                  </from>
                  <to>
                    <xdr:col>5</xdr:col>
                    <xdr:colOff>85725</xdr:colOff>
                    <xdr:row>10</xdr:row>
                    <xdr:rowOff>238125</xdr:rowOff>
                  </to>
                </anchor>
              </controlPr>
            </control>
          </mc:Choice>
        </mc:AlternateContent>
        <mc:AlternateContent xmlns:mc="http://schemas.openxmlformats.org/markup-compatibility/2006">
          <mc:Choice Requires="x14">
            <control shapeId="1234" r:id="rId29" name="Option Button 210">
              <controlPr locked="0" defaultSize="0" autoFill="0" autoLine="0" autoPict="0">
                <anchor moveWithCells="1">
                  <from>
                    <xdr:col>4</xdr:col>
                    <xdr:colOff>47625</xdr:colOff>
                    <xdr:row>10</xdr:row>
                    <xdr:rowOff>238125</xdr:rowOff>
                  </from>
                  <to>
                    <xdr:col>5</xdr:col>
                    <xdr:colOff>257175</xdr:colOff>
                    <xdr:row>11</xdr:row>
                    <xdr:rowOff>190500</xdr:rowOff>
                  </to>
                </anchor>
              </controlPr>
            </control>
          </mc:Choice>
        </mc:AlternateContent>
        <mc:AlternateContent xmlns:mc="http://schemas.openxmlformats.org/markup-compatibility/2006">
          <mc:Choice Requires="x14">
            <control shapeId="1055" r:id="rId30" name="Drop Down 31">
              <controlPr locked="0" defaultSize="0" print="0" autoFill="0" autoLine="0" autoPict="0">
                <anchor moveWithCells="1">
                  <from>
                    <xdr:col>2</xdr:col>
                    <xdr:colOff>0</xdr:colOff>
                    <xdr:row>19</xdr:row>
                    <xdr:rowOff>0</xdr:rowOff>
                  </from>
                  <to>
                    <xdr:col>6</xdr:col>
                    <xdr:colOff>28575</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
    <tabColor rgb="FF92D050"/>
    <pageSetUpPr fitToPage="1"/>
  </sheetPr>
  <dimension ref="A1:U51"/>
  <sheetViews>
    <sheetView showGridLines="0" showRowColHeaders="0" showZeros="0" zoomScaleNormal="100" workbookViewId="0">
      <selection activeCell="F6" sqref="F6"/>
    </sheetView>
  </sheetViews>
  <sheetFormatPr baseColWidth="10" defaultColWidth="11.42578125" defaultRowHeight="12.75" zeroHeight="1" x14ac:dyDescent="0.2"/>
  <cols>
    <col min="1" max="1" width="2.42578125" style="1" customWidth="1"/>
    <col min="2" max="2" width="1.7109375" style="1" hidden="1" customWidth="1"/>
    <col min="3" max="3" width="37.140625" style="1" customWidth="1"/>
    <col min="4" max="20" width="10.28515625" style="1" customWidth="1"/>
    <col min="21" max="21" width="6.42578125" style="1" customWidth="1"/>
    <col min="22" max="22" width="0.5703125" style="1" customWidth="1"/>
    <col min="23" max="35" width="11.42578125" style="1" customWidth="1"/>
    <col min="36" max="16384" width="11.42578125" style="1"/>
  </cols>
  <sheetData>
    <row r="1" spans="1:21" ht="18.75" customHeight="1" thickTop="1" x14ac:dyDescent="0.25">
      <c r="A1" s="848" t="s">
        <v>30</v>
      </c>
      <c r="B1" s="849"/>
      <c r="C1" s="849"/>
      <c r="D1" s="850"/>
      <c r="E1" s="850"/>
      <c r="F1" s="850"/>
      <c r="G1" s="850"/>
      <c r="H1" s="850"/>
      <c r="I1" s="850"/>
      <c r="J1" s="850"/>
      <c r="K1" s="850"/>
      <c r="L1" s="850"/>
      <c r="M1" s="850"/>
      <c r="N1" s="850"/>
      <c r="O1" s="850"/>
      <c r="P1" s="850"/>
      <c r="Q1" s="850"/>
      <c r="R1" s="850"/>
      <c r="S1" s="850"/>
      <c r="T1" s="850"/>
      <c r="U1" s="851"/>
    </row>
    <row r="2" spans="1:21" s="2" customFormat="1" ht="18.75" customHeight="1" thickBot="1" x14ac:dyDescent="0.25">
      <c r="A2" s="852"/>
      <c r="B2" s="853"/>
      <c r="C2" s="853"/>
      <c r="D2" s="853"/>
      <c r="E2" s="853"/>
      <c r="F2" s="853"/>
      <c r="G2" s="853"/>
      <c r="H2" s="853"/>
      <c r="I2" s="853"/>
      <c r="J2" s="853"/>
      <c r="K2" s="853"/>
      <c r="L2" s="853"/>
      <c r="M2" s="853"/>
      <c r="N2" s="853"/>
      <c r="O2" s="853"/>
      <c r="P2" s="853"/>
      <c r="Q2" s="853"/>
      <c r="R2" s="853"/>
      <c r="S2" s="853"/>
      <c r="T2" s="853"/>
      <c r="U2" s="854"/>
    </row>
    <row r="3" spans="1:21" s="3" customFormat="1" ht="24.75" thickBot="1" x14ac:dyDescent="0.25">
      <c r="A3" s="855"/>
      <c r="B3" s="856"/>
      <c r="C3" s="853"/>
      <c r="D3" s="857" t="s">
        <v>0</v>
      </c>
      <c r="E3" s="858" t="str">
        <f>'Ration Milch'!I8</f>
        <v>Laktations-tag</v>
      </c>
      <c r="F3" s="859" t="s">
        <v>1</v>
      </c>
      <c r="G3" s="860" t="s">
        <v>2</v>
      </c>
      <c r="H3" s="861"/>
      <c r="I3" s="862"/>
      <c r="J3" s="853"/>
      <c r="K3" s="853"/>
      <c r="L3" s="863"/>
      <c r="M3" s="864"/>
      <c r="N3" s="864"/>
      <c r="O3" s="864"/>
      <c r="P3" s="864"/>
      <c r="Q3" s="864"/>
      <c r="R3" s="864"/>
      <c r="S3" s="864"/>
      <c r="T3" s="865"/>
      <c r="U3" s="866"/>
    </row>
    <row r="4" spans="1:21" s="4" customFormat="1" ht="18.75" customHeight="1" thickBot="1" x14ac:dyDescent="0.3">
      <c r="A4" s="852"/>
      <c r="B4" s="867"/>
      <c r="C4" s="853"/>
      <c r="D4" s="868"/>
      <c r="E4" s="869"/>
      <c r="F4" s="870"/>
      <c r="G4" s="868" t="s">
        <v>3</v>
      </c>
      <c r="H4" s="871" t="s">
        <v>4</v>
      </c>
      <c r="I4" s="870" t="s">
        <v>5</v>
      </c>
      <c r="J4" s="853"/>
      <c r="K4" s="853"/>
      <c r="L4" s="489"/>
      <c r="M4" s="872" t="s">
        <v>6</v>
      </c>
      <c r="N4" s="873"/>
      <c r="O4" s="873"/>
      <c r="P4" s="873"/>
      <c r="Q4" s="873"/>
      <c r="R4" s="873"/>
      <c r="S4" s="874"/>
      <c r="T4" s="875"/>
      <c r="U4" s="854"/>
    </row>
    <row r="5" spans="1:21" s="4" customFormat="1" ht="18.75" customHeight="1" thickBot="1" x14ac:dyDescent="0.3">
      <c r="A5" s="852"/>
      <c r="B5" s="876"/>
      <c r="C5" s="493"/>
      <c r="D5" s="877" t="s">
        <v>7</v>
      </c>
      <c r="E5" s="878" t="s">
        <v>8</v>
      </c>
      <c r="F5" s="879" t="s">
        <v>9</v>
      </c>
      <c r="G5" s="877" t="s">
        <v>10</v>
      </c>
      <c r="H5" s="880" t="s">
        <v>11</v>
      </c>
      <c r="I5" s="879" t="s">
        <v>11</v>
      </c>
      <c r="J5" s="853"/>
      <c r="K5" s="853"/>
      <c r="L5" s="489"/>
      <c r="M5" s="881" t="s">
        <v>145</v>
      </c>
      <c r="N5" s="882" t="str">
        <f>+N14</f>
        <v>Ca</v>
      </c>
      <c r="O5" s="882" t="str">
        <f t="shared" ref="O5:S6" si="0">+O14</f>
        <v>P</v>
      </c>
      <c r="P5" s="882" t="str">
        <f t="shared" si="0"/>
        <v>Na</v>
      </c>
      <c r="Q5" s="882" t="str">
        <f t="shared" si="0"/>
        <v>Mg</v>
      </c>
      <c r="R5" s="882" t="str">
        <f>+R14</f>
        <v>K</v>
      </c>
      <c r="S5" s="882" t="str">
        <f t="shared" si="0"/>
        <v>Se</v>
      </c>
      <c r="T5" s="883" t="str">
        <f>+T14</f>
        <v>DCAB</v>
      </c>
      <c r="U5" s="884"/>
    </row>
    <row r="6" spans="1:21" s="4" customFormat="1" ht="18.75" customHeight="1" thickBot="1" x14ac:dyDescent="0.3">
      <c r="A6" s="852"/>
      <c r="B6" s="885"/>
      <c r="C6" s="493"/>
      <c r="D6" s="877">
        <f>[0]!LakNr</f>
        <v>0</v>
      </c>
      <c r="E6" s="886">
        <f>LaktTag</f>
        <v>0</v>
      </c>
      <c r="F6" s="887">
        <f>+'Ration Milch'!J11</f>
        <v>0</v>
      </c>
      <c r="G6" s="877">
        <f>M_kg</f>
        <v>0</v>
      </c>
      <c r="H6" s="888">
        <f>+'Ration Milch'!L11</f>
        <v>0</v>
      </c>
      <c r="I6" s="888">
        <f>+'Ration Milch'!M11</f>
        <v>0</v>
      </c>
      <c r="J6" s="853"/>
      <c r="K6" s="853"/>
      <c r="L6" s="889"/>
      <c r="M6" s="890" t="s">
        <v>9</v>
      </c>
      <c r="N6" s="891" t="str">
        <f>+N15</f>
        <v xml:space="preserve">g </v>
      </c>
      <c r="O6" s="891" t="str">
        <f t="shared" si="0"/>
        <v>g</v>
      </c>
      <c r="P6" s="891" t="str">
        <f t="shared" si="0"/>
        <v>g</v>
      </c>
      <c r="Q6" s="891" t="str">
        <f t="shared" si="0"/>
        <v>g</v>
      </c>
      <c r="R6" s="891" t="str">
        <f>+R15</f>
        <v>g</v>
      </c>
      <c r="S6" s="891" t="str">
        <f t="shared" si="0"/>
        <v>mg</v>
      </c>
      <c r="T6" s="892" t="str">
        <f>+T15</f>
        <v>meq</v>
      </c>
      <c r="U6" s="884"/>
    </row>
    <row r="7" spans="1:21" s="4" customFormat="1" ht="18.75" customHeight="1" thickBot="1" x14ac:dyDescent="0.3">
      <c r="A7" s="852"/>
      <c r="B7" s="885"/>
      <c r="C7" s="493"/>
      <c r="D7" s="493"/>
      <c r="E7" s="427"/>
      <c r="F7" s="427"/>
      <c r="G7" s="427"/>
      <c r="H7" s="427"/>
      <c r="I7" s="493" t="s">
        <v>226</v>
      </c>
      <c r="J7" s="427"/>
      <c r="K7" s="893"/>
      <c r="L7" s="894"/>
      <c r="M7" s="895">
        <f>+M37</f>
        <v>0</v>
      </c>
      <c r="N7" s="896">
        <v>2</v>
      </c>
      <c r="O7" s="897">
        <v>1.4</v>
      </c>
      <c r="P7" s="897">
        <v>0.7</v>
      </c>
      <c r="Q7" s="897">
        <v>0.8</v>
      </c>
      <c r="R7" s="897">
        <v>1.8</v>
      </c>
      <c r="S7" s="898">
        <v>0.2</v>
      </c>
      <c r="T7" s="899"/>
      <c r="U7" s="884"/>
    </row>
    <row r="8" spans="1:21" s="4" customFormat="1" ht="18.75" customHeight="1" thickBot="1" x14ac:dyDescent="0.3">
      <c r="A8" s="852"/>
      <c r="B8" s="900"/>
      <c r="C8" s="493"/>
      <c r="D8" s="493"/>
      <c r="E8" s="427"/>
      <c r="F8" s="427"/>
      <c r="G8" s="427"/>
      <c r="H8" s="427"/>
      <c r="I8" s="427"/>
      <c r="J8" s="427"/>
      <c r="K8" s="427"/>
      <c r="L8" s="901" t="s">
        <v>31</v>
      </c>
      <c r="M8" s="902"/>
      <c r="N8" s="903">
        <f t="shared" ref="N8:S8" si="1">+N7*$M$7</f>
        <v>0</v>
      </c>
      <c r="O8" s="904">
        <f t="shared" si="1"/>
        <v>0</v>
      </c>
      <c r="P8" s="904">
        <f t="shared" si="1"/>
        <v>0</v>
      </c>
      <c r="Q8" s="904">
        <f t="shared" si="1"/>
        <v>0</v>
      </c>
      <c r="R8" s="904">
        <f t="shared" si="1"/>
        <v>0</v>
      </c>
      <c r="S8" s="905">
        <f t="shared" si="1"/>
        <v>0</v>
      </c>
      <c r="T8" s="906"/>
      <c r="U8" s="884"/>
    </row>
    <row r="9" spans="1:21" s="4" customFormat="1" ht="18.75" customHeight="1" x14ac:dyDescent="0.25">
      <c r="A9" s="855"/>
      <c r="B9" s="900"/>
      <c r="C9" s="907">
        <v>0</v>
      </c>
      <c r="D9" s="493"/>
      <c r="E9" s="908"/>
      <c r="F9" s="909"/>
      <c r="G9" s="893"/>
      <c r="H9" s="893"/>
      <c r="I9" s="493" t="s">
        <v>227</v>
      </c>
      <c r="J9" s="893"/>
      <c r="K9" s="409"/>
      <c r="L9" s="409"/>
      <c r="M9" s="902"/>
      <c r="N9" s="881">
        <v>2.5</v>
      </c>
      <c r="O9" s="882">
        <v>1.4</v>
      </c>
      <c r="P9" s="882">
        <v>0.5</v>
      </c>
      <c r="Q9" s="882">
        <v>0.4</v>
      </c>
      <c r="R9" s="882">
        <v>1.4</v>
      </c>
      <c r="S9" s="910"/>
      <c r="T9" s="911"/>
      <c r="U9" s="912"/>
    </row>
    <row r="10" spans="1:21" s="4" customFormat="1" ht="18.75" customHeight="1" thickBot="1" x14ac:dyDescent="0.3">
      <c r="A10" s="855"/>
      <c r="B10" s="900"/>
      <c r="C10" s="493"/>
      <c r="D10" s="493"/>
      <c r="E10" s="489"/>
      <c r="F10" s="427"/>
      <c r="G10" s="913"/>
      <c r="H10" s="427"/>
      <c r="I10" s="427"/>
      <c r="J10" s="893"/>
      <c r="K10" s="893"/>
      <c r="L10" s="901" t="s">
        <v>32</v>
      </c>
      <c r="M10" s="902"/>
      <c r="N10" s="903">
        <f>+IF($G$6="t",13,$G$6*N9)</f>
        <v>0</v>
      </c>
      <c r="O10" s="904">
        <f>+IF($G$6="t",7,$G$6*O9)</f>
        <v>0</v>
      </c>
      <c r="P10" s="904">
        <f>+IF($G$6="t",9,$G$6*P9)</f>
        <v>0</v>
      </c>
      <c r="Q10" s="904">
        <f>+IF($G$6="t",2,$G$6*Q9)</f>
        <v>0</v>
      </c>
      <c r="R10" s="904">
        <f>+IF($G$6="t",2,$G$6*R9)</f>
        <v>0</v>
      </c>
      <c r="S10" s="905">
        <f>+IF($G$6="t",0,$G$6*S9)</f>
        <v>0</v>
      </c>
      <c r="T10" s="914"/>
      <c r="U10" s="854"/>
    </row>
    <row r="11" spans="1:21" s="4" customFormat="1" ht="18.75" customHeight="1" thickBot="1" x14ac:dyDescent="0.3">
      <c r="A11" s="855"/>
      <c r="B11" s="915"/>
      <c r="C11" s="489"/>
      <c r="D11" s="489"/>
      <c r="E11" s="427"/>
      <c r="F11" s="427"/>
      <c r="G11" s="427"/>
      <c r="H11" s="427"/>
      <c r="I11" s="427"/>
      <c r="J11" s="427"/>
      <c r="K11" s="427"/>
      <c r="L11" s="427"/>
      <c r="M11" s="427"/>
      <c r="N11" s="916">
        <f t="shared" ref="N11:S11" si="2">N10+N8</f>
        <v>0</v>
      </c>
      <c r="O11" s="917">
        <f t="shared" si="2"/>
        <v>0</v>
      </c>
      <c r="P11" s="918">
        <f t="shared" si="2"/>
        <v>0</v>
      </c>
      <c r="Q11" s="919">
        <f t="shared" si="2"/>
        <v>0</v>
      </c>
      <c r="R11" s="919">
        <f t="shared" si="2"/>
        <v>0</v>
      </c>
      <c r="S11" s="920">
        <f t="shared" si="2"/>
        <v>0</v>
      </c>
      <c r="T11" s="921" t="str">
        <f>IF(M_kg="T","&lt;"&amp;DCAB_t_max,DCAB_lakt_min&amp;"-"&amp;DCAB_lakt_max)</f>
        <v>200-350</v>
      </c>
      <c r="U11" s="922"/>
    </row>
    <row r="12" spans="1:21" s="4" customFormat="1" ht="4.5" customHeight="1" thickBot="1" x14ac:dyDescent="0.3">
      <c r="A12" s="855"/>
      <c r="B12" s="915"/>
      <c r="C12" s="489"/>
      <c r="D12" s="489"/>
      <c r="E12" s="427"/>
      <c r="F12" s="489"/>
      <c r="G12" s="489"/>
      <c r="H12" s="489"/>
      <c r="I12" s="489"/>
      <c r="J12" s="489"/>
      <c r="K12" s="427"/>
      <c r="L12" s="427"/>
      <c r="M12" s="427"/>
      <c r="N12" s="427"/>
      <c r="O12" s="923"/>
      <c r="P12" s="923"/>
      <c r="Q12" s="923"/>
      <c r="R12" s="923"/>
      <c r="S12" s="924"/>
      <c r="T12" s="924"/>
      <c r="U12" s="854"/>
    </row>
    <row r="13" spans="1:21" s="4" customFormat="1" ht="18.75" customHeight="1" thickBot="1" x14ac:dyDescent="0.3">
      <c r="A13" s="855"/>
      <c r="B13" s="925" t="s">
        <v>25</v>
      </c>
      <c r="C13" s="489"/>
      <c r="D13" s="926"/>
      <c r="E13" s="927" t="s">
        <v>215</v>
      </c>
      <c r="F13" s="928"/>
      <c r="G13" s="928"/>
      <c r="H13" s="928"/>
      <c r="I13" s="928"/>
      <c r="J13" s="928"/>
      <c r="K13" s="875"/>
      <c r="L13" s="927"/>
      <c r="M13" s="929" t="s">
        <v>26</v>
      </c>
      <c r="N13" s="928"/>
      <c r="O13" s="928"/>
      <c r="P13" s="928"/>
      <c r="Q13" s="928"/>
      <c r="R13" s="928"/>
      <c r="S13" s="928"/>
      <c r="T13" s="930"/>
      <c r="U13" s="854"/>
    </row>
    <row r="14" spans="1:21" s="4" customFormat="1" ht="18.75" customHeight="1" thickBot="1" x14ac:dyDescent="0.3">
      <c r="A14" s="855"/>
      <c r="B14" s="915"/>
      <c r="C14" s="489"/>
      <c r="D14" s="931" t="s">
        <v>145</v>
      </c>
      <c r="E14" s="931" t="str">
        <f>Futterwerte!V6</f>
        <v>Ca</v>
      </c>
      <c r="F14" s="932" t="str">
        <f>Futterwerte!W6</f>
        <v>P</v>
      </c>
      <c r="G14" s="932" t="str">
        <f>Futterwerte!X6</f>
        <v>Na</v>
      </c>
      <c r="H14" s="932" t="str">
        <f>Futterwerte!Y6</f>
        <v>Mg</v>
      </c>
      <c r="I14" s="932" t="str">
        <f>Futterwerte!Z6</f>
        <v>K</v>
      </c>
      <c r="J14" s="932" t="str">
        <f>Futterwerte!AA6</f>
        <v>Se</v>
      </c>
      <c r="K14" s="933" t="str">
        <f>Futterwerte!AB6</f>
        <v>DCAB</v>
      </c>
      <c r="L14" s="934" t="str">
        <f>'Ration Milch'!V18</f>
        <v>FM kg</v>
      </c>
      <c r="M14" s="935" t="str">
        <f>'Ration Milch'!W18</f>
        <v>TM kg</v>
      </c>
      <c r="N14" s="931" t="str">
        <f t="shared" ref="N14:T14" si="3">+E14</f>
        <v>Ca</v>
      </c>
      <c r="O14" s="936" t="str">
        <f t="shared" si="3"/>
        <v>P</v>
      </c>
      <c r="P14" s="936" t="str">
        <f t="shared" si="3"/>
        <v>Na</v>
      </c>
      <c r="Q14" s="936" t="str">
        <f t="shared" si="3"/>
        <v>Mg</v>
      </c>
      <c r="R14" s="936" t="str">
        <f t="shared" si="3"/>
        <v>K</v>
      </c>
      <c r="S14" s="936" t="str">
        <f t="shared" si="3"/>
        <v>Se</v>
      </c>
      <c r="T14" s="937" t="str">
        <f t="shared" si="3"/>
        <v>DCAB</v>
      </c>
      <c r="U14" s="938"/>
    </row>
    <row r="15" spans="1:21" s="4" customFormat="1" ht="18.75" customHeight="1" thickBot="1" x14ac:dyDescent="0.3">
      <c r="A15" s="855"/>
      <c r="B15" s="939"/>
      <c r="C15" s="940" t="s">
        <v>129</v>
      </c>
      <c r="D15" s="890" t="s">
        <v>11</v>
      </c>
      <c r="E15" s="941" t="s">
        <v>38</v>
      </c>
      <c r="F15" s="942" t="s">
        <v>21</v>
      </c>
      <c r="G15" s="942" t="s">
        <v>21</v>
      </c>
      <c r="H15" s="942" t="s">
        <v>21</v>
      </c>
      <c r="I15" s="943" t="s">
        <v>21</v>
      </c>
      <c r="J15" s="944" t="s">
        <v>329</v>
      </c>
      <c r="K15" s="945" t="s">
        <v>392</v>
      </c>
      <c r="L15" s="946" t="str">
        <f>'Ration Milch'!V19</f>
        <v>kg</v>
      </c>
      <c r="M15" s="946" t="str">
        <f>'Ration Milch'!W19</f>
        <v>kg</v>
      </c>
      <c r="N15" s="890" t="str">
        <f>E15</f>
        <v xml:space="preserve">g </v>
      </c>
      <c r="O15" s="947" t="str">
        <f t="shared" ref="O15:T15" si="4">F15</f>
        <v>g</v>
      </c>
      <c r="P15" s="947" t="str">
        <f t="shared" si="4"/>
        <v>g</v>
      </c>
      <c r="Q15" s="947" t="str">
        <f t="shared" si="4"/>
        <v>g</v>
      </c>
      <c r="R15" s="947" t="str">
        <f t="shared" si="4"/>
        <v>g</v>
      </c>
      <c r="S15" s="947" t="str">
        <f t="shared" si="4"/>
        <v>mg</v>
      </c>
      <c r="T15" s="948" t="str">
        <f t="shared" si="4"/>
        <v>meq</v>
      </c>
      <c r="U15" s="884"/>
    </row>
    <row r="16" spans="1:21" s="5" customFormat="1" ht="18.75" customHeight="1" thickBot="1" x14ac:dyDescent="0.3">
      <c r="A16" s="855"/>
      <c r="B16" s="949">
        <f>+'Ration Milch'!C20</f>
        <v>48</v>
      </c>
      <c r="C16" s="950">
        <f>INDEX(Tabelle,$B16,2)</f>
        <v>0</v>
      </c>
      <c r="D16" s="951">
        <f>IF(INDEX(Tabelle,$B16,3)="","",INDEX(Tabelle,$B16,3)/10)</f>
        <v>0</v>
      </c>
      <c r="E16" s="952">
        <f>ROUND(INDEX(Tabelle,$B16,22),1)</f>
        <v>0</v>
      </c>
      <c r="F16" s="953">
        <f>ROUND(INDEX(Tabelle,$B16,23),1)</f>
        <v>0</v>
      </c>
      <c r="G16" s="953">
        <f>ROUND(INDEX(Tabelle,$B16,24),1)</f>
        <v>0</v>
      </c>
      <c r="H16" s="953">
        <f>ROUND(INDEX(Tabelle,$B16,25),1)</f>
        <v>0</v>
      </c>
      <c r="I16" s="953">
        <f>ROUND(INDEX(Tabelle,$B16,26),1)</f>
        <v>0</v>
      </c>
      <c r="J16" s="953">
        <f>ROUND(INDEX(Tabelle,$B16,27),1)</f>
        <v>0</v>
      </c>
      <c r="K16" s="954">
        <f>ROUND(INDEX(Tabelle,$B16,28),1)</f>
        <v>0</v>
      </c>
      <c r="L16" s="955" t="e">
        <f>'Ration Milch'!V20</f>
        <v>#DIV/0!</v>
      </c>
      <c r="M16" s="955">
        <f>'Ration Milch'!W20</f>
        <v>0</v>
      </c>
      <c r="N16" s="956">
        <f>M16*E16</f>
        <v>0</v>
      </c>
      <c r="O16" s="953">
        <f>M16*F16</f>
        <v>0</v>
      </c>
      <c r="P16" s="953">
        <f>M16*G16</f>
        <v>0</v>
      </c>
      <c r="Q16" s="953">
        <f>+M16*H16</f>
        <v>0</v>
      </c>
      <c r="R16" s="953">
        <f>+M16*I16</f>
        <v>0</v>
      </c>
      <c r="S16" s="953">
        <f>+M16*J16</f>
        <v>0</v>
      </c>
      <c r="T16" s="957">
        <f>+M16*K16</f>
        <v>0</v>
      </c>
      <c r="U16" s="535" t="str">
        <f>IF(M16=0,"",IF(COUNTIF(C16:J16,0)&gt;0,"?",""))</f>
        <v/>
      </c>
    </row>
    <row r="17" spans="1:21" s="5" customFormat="1" ht="18.75" customHeight="1" thickBot="1" x14ac:dyDescent="0.3">
      <c r="A17" s="855"/>
      <c r="B17" s="949">
        <f>+'Ration Milch'!C21</f>
        <v>193</v>
      </c>
      <c r="C17" s="958">
        <f>INDEX(Tabelle,$B17,2)</f>
        <v>0</v>
      </c>
      <c r="D17" s="959">
        <f>IF(INDEX(Tabelle,$B17,3)="","",INDEX(Tabelle,$B17,3)/10)</f>
        <v>0</v>
      </c>
      <c r="E17" s="960">
        <f>ROUND(INDEX(Tabelle,$B17,22),1)</f>
        <v>0</v>
      </c>
      <c r="F17" s="961">
        <f>ROUND(INDEX(Tabelle,$B17,23),1)</f>
        <v>0</v>
      </c>
      <c r="G17" s="961">
        <f>ROUND(INDEX(Tabelle,$B17,24),1)</f>
        <v>0</v>
      </c>
      <c r="H17" s="961">
        <f>ROUND(INDEX(Tabelle,$B17,25),1)</f>
        <v>0</v>
      </c>
      <c r="I17" s="961">
        <f>ROUND(INDEX(Tabelle,$B17,26),1)</f>
        <v>0</v>
      </c>
      <c r="J17" s="962">
        <f>ROUND(INDEX(Tabelle,$B17,27),1)</f>
        <v>0</v>
      </c>
      <c r="K17" s="963">
        <f>ROUND(INDEX(Tabelle,$B17,28),1)</f>
        <v>0</v>
      </c>
      <c r="L17" s="964" t="e">
        <f>'Ration Milch'!V21</f>
        <v>#DIV/0!</v>
      </c>
      <c r="M17" s="964">
        <f>'Ration Milch'!W21</f>
        <v>0</v>
      </c>
      <c r="N17" s="965">
        <f>M17*E17</f>
        <v>0</v>
      </c>
      <c r="O17" s="961">
        <f>M17*F17</f>
        <v>0</v>
      </c>
      <c r="P17" s="961">
        <f>M17*G17</f>
        <v>0</v>
      </c>
      <c r="Q17" s="961">
        <f>+M17*H17</f>
        <v>0</v>
      </c>
      <c r="R17" s="961">
        <f>+M17*I17</f>
        <v>0</v>
      </c>
      <c r="S17" s="962">
        <f>+M17*J17</f>
        <v>0</v>
      </c>
      <c r="T17" s="957">
        <f>+M17*K17</f>
        <v>0</v>
      </c>
      <c r="U17" s="535" t="str">
        <f>IF(M17=0,"",IF(COUNTIF(C17:J17,0)&gt;0,"?",""))</f>
        <v/>
      </c>
    </row>
    <row r="18" spans="1:21" s="5" customFormat="1" ht="18.75" customHeight="1" thickBot="1" x14ac:dyDescent="0.3">
      <c r="A18" s="855"/>
      <c r="B18" s="949">
        <f>+'Ration Milch'!C22</f>
        <v>4</v>
      </c>
      <c r="C18" s="958">
        <f>INDEX(Tabelle,$B18,2)</f>
        <v>0</v>
      </c>
      <c r="D18" s="959" t="str">
        <f>IF(INDEX(Tabelle,$B18,3)="","",INDEX(Tabelle,$B18,3)/10)</f>
        <v/>
      </c>
      <c r="E18" s="960">
        <f>ROUND(INDEX(Tabelle,$B18,22),1)</f>
        <v>0</v>
      </c>
      <c r="F18" s="961">
        <f>ROUND(INDEX(Tabelle,$B18,23),1)</f>
        <v>0</v>
      </c>
      <c r="G18" s="961">
        <f>ROUND(INDEX(Tabelle,$B18,24),1)</f>
        <v>0</v>
      </c>
      <c r="H18" s="961">
        <f>ROUND(INDEX(Tabelle,$B18,25),1)</f>
        <v>0</v>
      </c>
      <c r="I18" s="961">
        <f>ROUND(INDEX(Tabelle,$B18,26),1)</f>
        <v>0</v>
      </c>
      <c r="J18" s="962">
        <f>ROUND(INDEX(Tabelle,$B18,27),1)</f>
        <v>0</v>
      </c>
      <c r="K18" s="963">
        <f>ROUND(INDEX(Tabelle,$B18,28),1)</f>
        <v>0</v>
      </c>
      <c r="L18" s="964">
        <f>'Ration Milch'!V22</f>
        <v>0</v>
      </c>
      <c r="M18" s="964">
        <f>'Ration Milch'!W22</f>
        <v>0</v>
      </c>
      <c r="N18" s="965">
        <f>M18*E18</f>
        <v>0</v>
      </c>
      <c r="O18" s="961">
        <f>M18*F18</f>
        <v>0</v>
      </c>
      <c r="P18" s="961">
        <f>M18*G18</f>
        <v>0</v>
      </c>
      <c r="Q18" s="961">
        <f>+M18*H18</f>
        <v>0</v>
      </c>
      <c r="R18" s="961">
        <f>+M18*I18</f>
        <v>0</v>
      </c>
      <c r="S18" s="962">
        <f>+M18*J18</f>
        <v>0</v>
      </c>
      <c r="T18" s="957">
        <f>+M18*K18</f>
        <v>0</v>
      </c>
      <c r="U18" s="535" t="str">
        <f>IF(M18=0,"",IF(COUNTIF(C18:J18,0)&gt;0,"?",""))</f>
        <v/>
      </c>
    </row>
    <row r="19" spans="1:21" s="5" customFormat="1" ht="18.75" customHeight="1" thickBot="1" x14ac:dyDescent="0.3">
      <c r="A19" s="855"/>
      <c r="B19" s="949">
        <f>+'Ration Milch'!C23</f>
        <v>272</v>
      </c>
      <c r="C19" s="958">
        <f>INDEX(Tabelle,$B19,2)</f>
        <v>0</v>
      </c>
      <c r="D19" s="959">
        <f>IF(INDEX(Tabelle,$B19,3)="","",INDEX(Tabelle,$B19,3)/10)</f>
        <v>0</v>
      </c>
      <c r="E19" s="960">
        <f>ROUND(INDEX(Tabelle,$B19,22),1)</f>
        <v>0</v>
      </c>
      <c r="F19" s="961">
        <f>ROUND(INDEX(Tabelle,$B19,23),1)</f>
        <v>0</v>
      </c>
      <c r="G19" s="961">
        <f>ROUND(INDEX(Tabelle,$B19,24),1)</f>
        <v>0</v>
      </c>
      <c r="H19" s="961">
        <f>ROUND(INDEX(Tabelle,$B19,25),1)</f>
        <v>0</v>
      </c>
      <c r="I19" s="961">
        <f>ROUND(INDEX(Tabelle,$B19,26),1)</f>
        <v>0</v>
      </c>
      <c r="J19" s="962">
        <f>ROUND(INDEX(Tabelle,$B19,27),1)</f>
        <v>0</v>
      </c>
      <c r="K19" s="963">
        <f>ROUND(INDEX(Tabelle,$B19,28),1)</f>
        <v>0</v>
      </c>
      <c r="L19" s="964" t="e">
        <f>'Ration Milch'!V23</f>
        <v>#DIV/0!</v>
      </c>
      <c r="M19" s="964">
        <f>'Ration Milch'!W23</f>
        <v>0</v>
      </c>
      <c r="N19" s="965">
        <f>M19*E19</f>
        <v>0</v>
      </c>
      <c r="O19" s="961">
        <f>M19*F19</f>
        <v>0</v>
      </c>
      <c r="P19" s="961">
        <f>M19*G19</f>
        <v>0</v>
      </c>
      <c r="Q19" s="961">
        <f>+M19*H19</f>
        <v>0</v>
      </c>
      <c r="R19" s="961">
        <f>+M19*I19</f>
        <v>0</v>
      </c>
      <c r="S19" s="962">
        <f>+M19*J19</f>
        <v>0</v>
      </c>
      <c r="T19" s="957">
        <f>+M19*K19</f>
        <v>0</v>
      </c>
      <c r="U19" s="535" t="str">
        <f>IF(M19=0,"",IF(COUNTIF(C19:J19,0)&gt;0,"?",""))</f>
        <v/>
      </c>
    </row>
    <row r="20" spans="1:21" s="5" customFormat="1" ht="18.75" customHeight="1" thickBot="1" x14ac:dyDescent="0.3">
      <c r="A20" s="855"/>
      <c r="B20" s="949">
        <f>+'Ration Milch'!C24</f>
        <v>276</v>
      </c>
      <c r="C20" s="966">
        <f>INDEX(Tabelle,$B20,2)</f>
        <v>0</v>
      </c>
      <c r="D20" s="967">
        <f>IF(INDEX(Tabelle,$B20,3)="","",INDEX(Tabelle,$B20,3)/10)</f>
        <v>0</v>
      </c>
      <c r="E20" s="968">
        <f>ROUND(INDEX(Tabelle,$B20,22),1)</f>
        <v>0</v>
      </c>
      <c r="F20" s="969">
        <f>ROUND(INDEX(Tabelle,$B20,23),1)</f>
        <v>0</v>
      </c>
      <c r="G20" s="969">
        <f>ROUND(INDEX(Tabelle,$B20,24),1)</f>
        <v>0</v>
      </c>
      <c r="H20" s="969">
        <f>ROUND(INDEX(Tabelle,$B20,25),1)</f>
        <v>0</v>
      </c>
      <c r="I20" s="969">
        <f>ROUND(INDEX(Tabelle,$B20,26),1)</f>
        <v>0</v>
      </c>
      <c r="J20" s="969">
        <f>ROUND(INDEX(Tabelle,$B20,27),1)</f>
        <v>0</v>
      </c>
      <c r="K20" s="970">
        <f>ROUND(INDEX(Tabelle,$B20,28),1)</f>
        <v>0</v>
      </c>
      <c r="L20" s="971" t="e">
        <f>'Ration Milch'!V24</f>
        <v>#DIV/0!</v>
      </c>
      <c r="M20" s="971">
        <f>'Ration Milch'!W24</f>
        <v>0</v>
      </c>
      <c r="N20" s="965">
        <f>M20*E20</f>
        <v>0</v>
      </c>
      <c r="O20" s="972">
        <f>M20*F20</f>
        <v>0</v>
      </c>
      <c r="P20" s="972">
        <f>M20*G20</f>
        <v>0</v>
      </c>
      <c r="Q20" s="972">
        <f>+M20*H20</f>
        <v>0</v>
      </c>
      <c r="R20" s="972">
        <f>+M20*I20</f>
        <v>0</v>
      </c>
      <c r="S20" s="972">
        <f>+M20*J20</f>
        <v>0</v>
      </c>
      <c r="T20" s="973">
        <f>+M20*K20</f>
        <v>0</v>
      </c>
      <c r="U20" s="535" t="str">
        <f>IF(M20=0,"",IF(COUNTIF(C20:J20,0)&gt;0,"?",""))</f>
        <v/>
      </c>
    </row>
    <row r="21" spans="1:21" s="5" customFormat="1" ht="18.75" customHeight="1" thickBot="1" x14ac:dyDescent="0.3">
      <c r="A21" s="855"/>
      <c r="B21" s="853"/>
      <c r="C21" s="427"/>
      <c r="D21" s="889"/>
      <c r="E21" s="489"/>
      <c r="F21" s="489"/>
      <c r="G21" s="489"/>
      <c r="H21" s="489"/>
      <c r="I21" s="489"/>
      <c r="J21" s="489"/>
      <c r="K21" s="926" t="s">
        <v>27</v>
      </c>
      <c r="L21" s="974" t="e">
        <f>'Ration Milch'!V25</f>
        <v>#DIV/0!</v>
      </c>
      <c r="M21" s="974">
        <f>'Ration Milch'!W25</f>
        <v>0</v>
      </c>
      <c r="N21" s="975">
        <f t="shared" ref="N21:T21" si="5">SUM(N16:N20)</f>
        <v>0</v>
      </c>
      <c r="O21" s="976">
        <f t="shared" si="5"/>
        <v>0</v>
      </c>
      <c r="P21" s="976">
        <f t="shared" si="5"/>
        <v>0</v>
      </c>
      <c r="Q21" s="976">
        <f t="shared" si="5"/>
        <v>0</v>
      </c>
      <c r="R21" s="976">
        <f t="shared" si="5"/>
        <v>0</v>
      </c>
      <c r="S21" s="976">
        <f t="shared" si="5"/>
        <v>0</v>
      </c>
      <c r="T21" s="977">
        <f t="shared" si="5"/>
        <v>0</v>
      </c>
      <c r="U21" s="978"/>
    </row>
    <row r="22" spans="1:21" s="5" customFormat="1" ht="18.75" customHeight="1" thickBot="1" x14ac:dyDescent="0.3">
      <c r="A22" s="855"/>
      <c r="B22" s="853"/>
      <c r="C22" s="427"/>
      <c r="D22" s="889"/>
      <c r="E22" s="489"/>
      <c r="F22" s="489"/>
      <c r="G22" s="489"/>
      <c r="H22" s="489"/>
      <c r="I22" s="489"/>
      <c r="J22" s="489"/>
      <c r="K22" s="489"/>
      <c r="L22" s="489"/>
      <c r="M22" s="902" t="s">
        <v>146</v>
      </c>
      <c r="N22" s="979" t="str">
        <f t="shared" ref="N22:S22" si="6">IF($M$21&gt;0,N21/$M$21,"")</f>
        <v/>
      </c>
      <c r="O22" s="980" t="str">
        <f t="shared" si="6"/>
        <v/>
      </c>
      <c r="P22" s="980" t="str">
        <f t="shared" si="6"/>
        <v/>
      </c>
      <c r="Q22" s="980" t="str">
        <f t="shared" si="6"/>
        <v/>
      </c>
      <c r="R22" s="980" t="str">
        <f t="shared" si="6"/>
        <v/>
      </c>
      <c r="S22" s="980" t="str">
        <f t="shared" si="6"/>
        <v/>
      </c>
      <c r="T22" s="981" t="str">
        <f>IF($M$21&gt;0,T21/$M$21,"")</f>
        <v/>
      </c>
      <c r="U22" s="978"/>
    </row>
    <row r="23" spans="1:21" s="5" customFormat="1" ht="18.75" customHeight="1" thickBot="1" x14ac:dyDescent="0.3">
      <c r="A23" s="855"/>
      <c r="B23" s="876"/>
      <c r="C23" s="982" t="s">
        <v>148</v>
      </c>
      <c r="D23" s="889"/>
      <c r="E23" s="489"/>
      <c r="F23" s="489"/>
      <c r="G23" s="489"/>
      <c r="H23" s="983"/>
      <c r="I23" s="983"/>
      <c r="J23" s="983"/>
      <c r="K23" s="427"/>
      <c r="L23" s="984"/>
      <c r="M23" s="984"/>
      <c r="N23" s="985">
        <f>IF(N9=0,0,(N21-N8)/N9)</f>
        <v>0</v>
      </c>
      <c r="O23" s="986">
        <f>IF(O9=0,0,(O21-O8)/O9)</f>
        <v>0</v>
      </c>
      <c r="P23" s="987">
        <f>IF(P9=0,0,(P21-P8)/P9)</f>
        <v>0</v>
      </c>
      <c r="Q23" s="988">
        <f>IF(Q9=0,0,(Q21-Q8)/Q9)</f>
        <v>0</v>
      </c>
      <c r="R23" s="427" t="s">
        <v>28</v>
      </c>
      <c r="S23" s="989"/>
      <c r="T23" s="989"/>
      <c r="U23" s="990"/>
    </row>
    <row r="24" spans="1:21" s="5" customFormat="1" ht="4.5" customHeight="1" thickBot="1" x14ac:dyDescent="0.3">
      <c r="A24" s="855"/>
      <c r="B24" s="876"/>
      <c r="C24" s="991"/>
      <c r="D24" s="889"/>
      <c r="E24" s="489"/>
      <c r="F24" s="489"/>
      <c r="G24" s="489"/>
      <c r="H24" s="983"/>
      <c r="I24" s="983"/>
      <c r="J24" s="983"/>
      <c r="K24" s="427"/>
      <c r="L24" s="984"/>
      <c r="M24" s="984"/>
      <c r="N24" s="489"/>
      <c r="O24" s="489"/>
      <c r="P24" s="427"/>
      <c r="Q24" s="992"/>
      <c r="R24" s="992"/>
      <c r="S24" s="992"/>
      <c r="T24" s="992"/>
      <c r="U24" s="854"/>
    </row>
    <row r="25" spans="1:21" s="5" customFormat="1" ht="18.75" customHeight="1" thickBot="1" x14ac:dyDescent="0.3">
      <c r="A25" s="855"/>
      <c r="B25" s="949">
        <f>+'Ration Milch'!C28</f>
        <v>247</v>
      </c>
      <c r="C25" s="993">
        <f>INDEX(Tabelle,$B25,2)</f>
        <v>0</v>
      </c>
      <c r="D25" s="951">
        <f>IF(INDEX(Tabelle,$B25,3)="","",INDEX(Tabelle,$B25,3)/10)</f>
        <v>0</v>
      </c>
      <c r="E25" s="952">
        <f>ROUND(INDEX(Tabelle,$B25,22),1)</f>
        <v>0</v>
      </c>
      <c r="F25" s="953">
        <f>ROUND(INDEX(Tabelle,$B25,23),1)</f>
        <v>0</v>
      </c>
      <c r="G25" s="953">
        <f>ROUND(INDEX(Tabelle,$B25,24),1)</f>
        <v>0</v>
      </c>
      <c r="H25" s="953">
        <f>ROUND(INDEX(Tabelle,$B25,25),1)</f>
        <v>0</v>
      </c>
      <c r="I25" s="953">
        <f>ROUND(INDEX(Tabelle,$B25,26),1)</f>
        <v>0</v>
      </c>
      <c r="J25" s="953">
        <f>ROUND(INDEX(Tabelle,$B25,27),1)</f>
        <v>0</v>
      </c>
      <c r="K25" s="994">
        <f>ROUND(INDEX(Tabelle,$B25,28),1)</f>
        <v>0</v>
      </c>
      <c r="L25" s="995" t="e">
        <f>'Ration Milch'!V28</f>
        <v>#DIV/0!</v>
      </c>
      <c r="M25" s="955">
        <f>'Ration Milch'!W28</f>
        <v>0</v>
      </c>
      <c r="N25" s="952">
        <f>M25*E25</f>
        <v>0</v>
      </c>
      <c r="O25" s="953">
        <f>M25*F25</f>
        <v>0</v>
      </c>
      <c r="P25" s="953">
        <f>M25*G25</f>
        <v>0</v>
      </c>
      <c r="Q25" s="953">
        <f>+M25*H25</f>
        <v>0</v>
      </c>
      <c r="R25" s="953">
        <f>+M25*I25</f>
        <v>0</v>
      </c>
      <c r="S25" s="953">
        <f>+M25*J25</f>
        <v>0</v>
      </c>
      <c r="T25" s="994">
        <f>+M25*K25</f>
        <v>0</v>
      </c>
      <c r="U25" s="535" t="str">
        <f>IF(M25=0,"",IF(COUNTIF(C25:J25,0)&gt;0,"?",""))</f>
        <v/>
      </c>
    </row>
    <row r="26" spans="1:21" s="5" customFormat="1" ht="18.75" customHeight="1" thickBot="1" x14ac:dyDescent="0.3">
      <c r="A26" s="855"/>
      <c r="B26" s="949">
        <f>+'Ration Milch'!C29</f>
        <v>37</v>
      </c>
      <c r="C26" s="958">
        <f>INDEX(Tabelle,$B26,2)</f>
        <v>0</v>
      </c>
      <c r="D26" s="959" t="str">
        <f>IF(INDEX(Tabelle,$B26,3)="","",INDEX(Tabelle,$B26,3)/10)</f>
        <v/>
      </c>
      <c r="E26" s="960">
        <f>ROUND(INDEX(Tabelle,$B26,22),1)</f>
        <v>0</v>
      </c>
      <c r="F26" s="961">
        <f>ROUND(INDEX(Tabelle,$B26,23),1)</f>
        <v>0</v>
      </c>
      <c r="G26" s="961">
        <f>ROUND(INDEX(Tabelle,$B26,24),1)</f>
        <v>0</v>
      </c>
      <c r="H26" s="961">
        <f>ROUND(INDEX(Tabelle,$B26,25),1)</f>
        <v>0</v>
      </c>
      <c r="I26" s="961">
        <f>ROUND(INDEX(Tabelle,$B26,26),1)</f>
        <v>0</v>
      </c>
      <c r="J26" s="962">
        <f>ROUND(INDEX(Tabelle,$B26,27),1)</f>
        <v>0</v>
      </c>
      <c r="K26" s="963">
        <f>ROUND(INDEX(Tabelle,$B26,28),1)</f>
        <v>0</v>
      </c>
      <c r="L26" s="964">
        <f>'Ration Milch'!V29</f>
        <v>0</v>
      </c>
      <c r="M26" s="964">
        <f>'Ration Milch'!W29</f>
        <v>0</v>
      </c>
      <c r="N26" s="965">
        <f>M26*E26</f>
        <v>0</v>
      </c>
      <c r="O26" s="961">
        <f>M26*F26</f>
        <v>0</v>
      </c>
      <c r="P26" s="961">
        <f>M26*G26</f>
        <v>0</v>
      </c>
      <c r="Q26" s="961">
        <f>+M26*H26</f>
        <v>0</v>
      </c>
      <c r="R26" s="961">
        <f>+M26*I26</f>
        <v>0</v>
      </c>
      <c r="S26" s="962">
        <f>+M26*J26</f>
        <v>0</v>
      </c>
      <c r="T26" s="957">
        <f>+M26*K26</f>
        <v>0</v>
      </c>
      <c r="U26" s="535" t="str">
        <f>IF(M26=0,"",IF(COUNTIF(C26:J26,0)&gt;0,"?",""))</f>
        <v/>
      </c>
    </row>
    <row r="27" spans="1:21" s="5" customFormat="1" ht="18.75" customHeight="1" thickBot="1" x14ac:dyDescent="0.3">
      <c r="A27" s="855"/>
      <c r="B27" s="949">
        <f>+'Ration Milch'!C30</f>
        <v>275</v>
      </c>
      <c r="C27" s="996">
        <f>INDEX(Tabelle,$B27,2)</f>
        <v>0</v>
      </c>
      <c r="D27" s="959">
        <f>IF(INDEX(Tabelle,$B27,3)="","",INDEX(Tabelle,$B27,3)/10)</f>
        <v>0</v>
      </c>
      <c r="E27" s="997">
        <f>ROUND(INDEX(Tabelle,$B27,22),1)</f>
        <v>0</v>
      </c>
      <c r="F27" s="962">
        <f>ROUND(INDEX(Tabelle,$B27,23),1)</f>
        <v>0</v>
      </c>
      <c r="G27" s="962">
        <f>ROUND(INDEX(Tabelle,$B27,24),1)</f>
        <v>0</v>
      </c>
      <c r="H27" s="962">
        <f>ROUND(INDEX(Tabelle,$B27,25),1)</f>
        <v>0</v>
      </c>
      <c r="I27" s="962">
        <f>ROUND(INDEX(Tabelle,$B27,26),1)</f>
        <v>0</v>
      </c>
      <c r="J27" s="962">
        <f>ROUND(INDEX(Tabelle,$B27,27),1)</f>
        <v>0</v>
      </c>
      <c r="K27" s="957">
        <f>ROUND(INDEX(Tabelle,$B27,28),1)</f>
        <v>0</v>
      </c>
      <c r="L27" s="998" t="e">
        <f>'Ration Milch'!V30</f>
        <v>#DIV/0!</v>
      </c>
      <c r="M27" s="964">
        <f>'Ration Milch'!W30</f>
        <v>0</v>
      </c>
      <c r="N27" s="997">
        <f>M27*E27</f>
        <v>0</v>
      </c>
      <c r="O27" s="962">
        <f>M27*F27</f>
        <v>0</v>
      </c>
      <c r="P27" s="962">
        <f>M27*G27</f>
        <v>0</v>
      </c>
      <c r="Q27" s="962">
        <f>+M27*H27</f>
        <v>0</v>
      </c>
      <c r="R27" s="962">
        <f>+M27*I27</f>
        <v>0</v>
      </c>
      <c r="S27" s="962">
        <f>+M27*J27</f>
        <v>0</v>
      </c>
      <c r="T27" s="957">
        <f>+M27*K27</f>
        <v>0</v>
      </c>
      <c r="U27" s="535" t="str">
        <f>IF(M27=0,"",IF(COUNTIF(C27:J27,0)&gt;0,"?",""))</f>
        <v/>
      </c>
    </row>
    <row r="28" spans="1:21" s="5" customFormat="1" ht="18.75" customHeight="1" thickBot="1" x14ac:dyDescent="0.3">
      <c r="A28" s="855"/>
      <c r="B28" s="949">
        <f>+'Ration Milch'!C31</f>
        <v>273</v>
      </c>
      <c r="C28" s="996">
        <f>INDEX(Tabelle,$B28,2)</f>
        <v>0</v>
      </c>
      <c r="D28" s="959">
        <f>IF(INDEX(Tabelle,$B28,3)="","",INDEX(Tabelle,$B28,3)/10)</f>
        <v>0</v>
      </c>
      <c r="E28" s="997">
        <f>ROUND(INDEX(Tabelle,$B28,22),1)</f>
        <v>0</v>
      </c>
      <c r="F28" s="962">
        <f>ROUND(INDEX(Tabelle,$B28,23),1)</f>
        <v>0</v>
      </c>
      <c r="G28" s="962">
        <f>ROUND(INDEX(Tabelle,$B28,24),1)</f>
        <v>0</v>
      </c>
      <c r="H28" s="962">
        <f>ROUND(INDEX(Tabelle,$B28,25),1)</f>
        <v>0</v>
      </c>
      <c r="I28" s="962">
        <f>ROUND(INDEX(Tabelle,$B28,26),1)</f>
        <v>0</v>
      </c>
      <c r="J28" s="962">
        <f>ROUND(INDEX(Tabelle,$B28,27),1)</f>
        <v>0</v>
      </c>
      <c r="K28" s="957">
        <f>ROUND(INDEX(Tabelle,$B28,28),1)</f>
        <v>0</v>
      </c>
      <c r="L28" s="998" t="e">
        <f>'Ration Milch'!V31</f>
        <v>#DIV/0!</v>
      </c>
      <c r="M28" s="964">
        <f>'Ration Milch'!W31</f>
        <v>0</v>
      </c>
      <c r="N28" s="997">
        <f>M28*E28</f>
        <v>0</v>
      </c>
      <c r="O28" s="962">
        <f>M28*F28</f>
        <v>0</v>
      </c>
      <c r="P28" s="962">
        <f>M28*G28</f>
        <v>0</v>
      </c>
      <c r="Q28" s="962">
        <f>+M28*H28</f>
        <v>0</v>
      </c>
      <c r="R28" s="962">
        <f>+M28*I28</f>
        <v>0</v>
      </c>
      <c r="S28" s="962">
        <f>+M28*J28</f>
        <v>0</v>
      </c>
      <c r="T28" s="957">
        <f>+M28*K28</f>
        <v>0</v>
      </c>
      <c r="U28" s="535" t="str">
        <f>IF(M28=0,"",IF(COUNTIF(C28:J28,0)&gt;0,"?",""))</f>
        <v/>
      </c>
    </row>
    <row r="29" spans="1:21" s="5" customFormat="1" ht="18.75" customHeight="1" thickBot="1" x14ac:dyDescent="0.3">
      <c r="A29" s="855"/>
      <c r="B29" s="949">
        <f>+'Ration Milch'!C32</f>
        <v>3</v>
      </c>
      <c r="C29" s="999" t="str">
        <f>'Ration Milch'!D32</f>
        <v>Wasser (FM!)</v>
      </c>
      <c r="D29" s="967">
        <f>'Ration Milch'!H32</f>
        <v>1E-4</v>
      </c>
      <c r="E29" s="1000">
        <v>0</v>
      </c>
      <c r="F29" s="972">
        <v>0</v>
      </c>
      <c r="G29" s="972">
        <v>0</v>
      </c>
      <c r="H29" s="972">
        <v>0</v>
      </c>
      <c r="I29" s="972">
        <v>0</v>
      </c>
      <c r="J29" s="972">
        <v>0</v>
      </c>
      <c r="K29" s="973">
        <v>0</v>
      </c>
      <c r="L29" s="1001">
        <f>'Ration Milch'!V32</f>
        <v>0</v>
      </c>
      <c r="M29" s="971">
        <f>'Ration Milch'!W32</f>
        <v>0</v>
      </c>
      <c r="N29" s="1000">
        <f>M29*E29</f>
        <v>0</v>
      </c>
      <c r="O29" s="972">
        <f>M29*F29</f>
        <v>0</v>
      </c>
      <c r="P29" s="972">
        <f>M29*G29</f>
        <v>0</v>
      </c>
      <c r="Q29" s="972">
        <f>+M29*H29</f>
        <v>0</v>
      </c>
      <c r="R29" s="972">
        <f>+M29*I29</f>
        <v>0</v>
      </c>
      <c r="S29" s="972">
        <f>+M29*J29</f>
        <v>0</v>
      </c>
      <c r="T29" s="973">
        <f>+M29*K29</f>
        <v>0</v>
      </c>
      <c r="U29" s="535" t="str">
        <f>IF(M29=0,"",IF(COUNTIF(C29:J29,0)&gt;0,"?",""))</f>
        <v/>
      </c>
    </row>
    <row r="30" spans="1:21" s="5" customFormat="1" ht="18.75" customHeight="1" thickBot="1" x14ac:dyDescent="0.3">
      <c r="A30" s="855"/>
      <c r="B30" s="853"/>
      <c r="C30" s="427"/>
      <c r="D30" s="489"/>
      <c r="E30" s="489"/>
      <c r="F30" s="489"/>
      <c r="G30" s="489"/>
      <c r="H30" s="489"/>
      <c r="I30" s="489"/>
      <c r="J30" s="489"/>
      <c r="K30" s="1002" t="s">
        <v>27</v>
      </c>
      <c r="L30" s="1003" t="e">
        <f>'Ration Milch'!V33</f>
        <v>#DIV/0!</v>
      </c>
      <c r="M30" s="974">
        <f>'Ration Milch'!W33</f>
        <v>0</v>
      </c>
      <c r="N30" s="975">
        <f t="shared" ref="N30:S30" si="7">SUM(N25:N29)+N21</f>
        <v>0</v>
      </c>
      <c r="O30" s="1004">
        <f t="shared" si="7"/>
        <v>0</v>
      </c>
      <c r="P30" s="1004">
        <f t="shared" si="7"/>
        <v>0</v>
      </c>
      <c r="Q30" s="1004">
        <f t="shared" si="7"/>
        <v>0</v>
      </c>
      <c r="R30" s="1004">
        <f t="shared" si="7"/>
        <v>0</v>
      </c>
      <c r="S30" s="1004">
        <f t="shared" si="7"/>
        <v>0</v>
      </c>
      <c r="T30" s="1005">
        <f>SUM(T25:T29)+T21</f>
        <v>0</v>
      </c>
      <c r="U30" s="978"/>
    </row>
    <row r="31" spans="1:21" s="5" customFormat="1" ht="18.75" customHeight="1" thickBot="1" x14ac:dyDescent="0.3">
      <c r="A31" s="855"/>
      <c r="B31" s="853"/>
      <c r="C31" s="427"/>
      <c r="D31" s="489"/>
      <c r="E31" s="489"/>
      <c r="F31" s="489"/>
      <c r="G31" s="489"/>
      <c r="H31" s="489"/>
      <c r="I31" s="489"/>
      <c r="J31" s="489"/>
      <c r="K31" s="489"/>
      <c r="L31" s="489"/>
      <c r="M31" s="902" t="s">
        <v>146</v>
      </c>
      <c r="N31" s="979" t="str">
        <f t="shared" ref="N31:S31" si="8">IF($M$30&gt;0,N30/$M$30,"")</f>
        <v/>
      </c>
      <c r="O31" s="980" t="str">
        <f t="shared" si="8"/>
        <v/>
      </c>
      <c r="P31" s="980" t="str">
        <f t="shared" si="8"/>
        <v/>
      </c>
      <c r="Q31" s="980" t="str">
        <f t="shared" si="8"/>
        <v/>
      </c>
      <c r="R31" s="980" t="str">
        <f t="shared" si="8"/>
        <v/>
      </c>
      <c r="S31" s="980" t="str">
        <f t="shared" si="8"/>
        <v/>
      </c>
      <c r="T31" s="1006" t="str">
        <f>IF($M$30&gt;0,T30/$M$30,"")</f>
        <v/>
      </c>
      <c r="U31" s="978"/>
    </row>
    <row r="32" spans="1:21" s="5" customFormat="1" ht="18.75" customHeight="1" thickBot="1" x14ac:dyDescent="0.3">
      <c r="A32" s="855"/>
      <c r="B32" s="876"/>
      <c r="C32" s="982" t="s">
        <v>29</v>
      </c>
      <c r="D32" s="913"/>
      <c r="E32" s="913"/>
      <c r="F32" s="489"/>
      <c r="G32" s="489"/>
      <c r="H32" s="983"/>
      <c r="I32" s="983"/>
      <c r="J32" s="983"/>
      <c r="K32" s="427"/>
      <c r="L32" s="984"/>
      <c r="M32" s="984"/>
      <c r="N32" s="985">
        <f>IF(N$9=0,0,(N30-N$8)/N$9)</f>
        <v>0</v>
      </c>
      <c r="O32" s="986">
        <f>IF(O$9=0,0,(O30-O$8)/O$9)</f>
        <v>0</v>
      </c>
      <c r="P32" s="987">
        <f>IF(P$9=0,0,(P30-P$8)/P$9)</f>
        <v>0</v>
      </c>
      <c r="Q32" s="988">
        <f>IF(Q$9=0,0,(Q30-Q$8)/Q$9)</f>
        <v>0</v>
      </c>
      <c r="R32" s="427" t="s">
        <v>28</v>
      </c>
      <c r="S32" s="989"/>
      <c r="T32" s="989"/>
      <c r="U32" s="990"/>
    </row>
    <row r="33" spans="1:21" s="5" customFormat="1" ht="4.5" customHeight="1" thickBot="1" x14ac:dyDescent="0.3">
      <c r="A33" s="855"/>
      <c r="B33" s="876"/>
      <c r="C33" s="1007"/>
      <c r="D33" s="489"/>
      <c r="E33" s="489"/>
      <c r="F33" s="489"/>
      <c r="G33" s="489"/>
      <c r="H33" s="983"/>
      <c r="I33" s="983"/>
      <c r="J33" s="983"/>
      <c r="K33" s="427"/>
      <c r="L33" s="984"/>
      <c r="M33" s="984"/>
      <c r="N33" s="489"/>
      <c r="O33" s="489"/>
      <c r="P33" s="427"/>
      <c r="Q33" s="992"/>
      <c r="R33" s="992"/>
      <c r="S33" s="992"/>
      <c r="T33" s="992"/>
      <c r="U33" s="854"/>
    </row>
    <row r="34" spans="1:21" s="5" customFormat="1" ht="18.75" customHeight="1" thickBot="1" x14ac:dyDescent="0.3">
      <c r="A34" s="855"/>
      <c r="B34" s="949">
        <f>+'Ration Milch'!C37</f>
        <v>47</v>
      </c>
      <c r="C34" s="950">
        <f>INDEX(Tabelle,$B34,2)</f>
        <v>0</v>
      </c>
      <c r="D34" s="951" t="str">
        <f>IF(INDEX(Tabelle,$B34,3)="","",INDEX(Tabelle,$B34,3)/10)</f>
        <v/>
      </c>
      <c r="E34" s="952">
        <f>ROUND(INDEX(Tabelle,$B34,22),1)</f>
        <v>0</v>
      </c>
      <c r="F34" s="953">
        <f>ROUND(INDEX(Tabelle,$B34,23),1)</f>
        <v>0</v>
      </c>
      <c r="G34" s="953">
        <f>ROUND(INDEX(Tabelle,$B34,24),1)</f>
        <v>0</v>
      </c>
      <c r="H34" s="953">
        <f>ROUND(INDEX(Tabelle,$B34,25),1)</f>
        <v>0</v>
      </c>
      <c r="I34" s="953">
        <f>ROUND(INDEX(Tabelle,$B34,26),1)</f>
        <v>0</v>
      </c>
      <c r="J34" s="953">
        <f>ROUND(INDEX(Tabelle,$B34,27),1)</f>
        <v>0</v>
      </c>
      <c r="K34" s="994">
        <f>ROUND(INDEX(Tabelle,$B34,28),1)</f>
        <v>0</v>
      </c>
      <c r="L34" s="1008">
        <f>'Ration Milch'!V37</f>
        <v>0</v>
      </c>
      <c r="M34" s="955">
        <f>'Ration Milch'!W37</f>
        <v>0</v>
      </c>
      <c r="N34" s="952">
        <f>M34*E34</f>
        <v>0</v>
      </c>
      <c r="O34" s="953">
        <f>M34*F34</f>
        <v>0</v>
      </c>
      <c r="P34" s="953">
        <f>M34*G34</f>
        <v>0</v>
      </c>
      <c r="Q34" s="953">
        <f>+M34*H34</f>
        <v>0</v>
      </c>
      <c r="R34" s="954">
        <f>+M34*I34</f>
        <v>0</v>
      </c>
      <c r="S34" s="953">
        <f>+M34*J34</f>
        <v>0</v>
      </c>
      <c r="T34" s="994">
        <f>+M34*K34</f>
        <v>0</v>
      </c>
      <c r="U34" s="535" t="str">
        <f>IF(M34=0,"",IF(COUNTIF(C34:J34,0)&gt;0,"?",""))</f>
        <v/>
      </c>
    </row>
    <row r="35" spans="1:21" s="5" customFormat="1" ht="18.75" customHeight="1" thickBot="1" x14ac:dyDescent="0.3">
      <c r="A35" s="855"/>
      <c r="B35" s="949">
        <f>+'Ration Milch'!C38</f>
        <v>255</v>
      </c>
      <c r="C35" s="966">
        <f>INDEX(Tabelle,$B35,2)</f>
        <v>0</v>
      </c>
      <c r="D35" s="967">
        <f>IF(INDEX(Tabelle,$B35,3)="","",INDEX(Tabelle,$B35,3)/10)</f>
        <v>0</v>
      </c>
      <c r="E35" s="1000">
        <f>ROUND(INDEX(Tabelle,$B35,22),1)</f>
        <v>0</v>
      </c>
      <c r="F35" s="972">
        <f>ROUND(INDEX(Tabelle,$B35,23),1)</f>
        <v>0</v>
      </c>
      <c r="G35" s="972">
        <f>ROUND(INDEX(Tabelle,$B35,24),1)</f>
        <v>0</v>
      </c>
      <c r="H35" s="972">
        <f>ROUND(INDEX(Tabelle,$B35,25),1)</f>
        <v>0</v>
      </c>
      <c r="I35" s="972">
        <f>ROUND(INDEX(Tabelle,$B35,26),1)</f>
        <v>0</v>
      </c>
      <c r="J35" s="972">
        <f>ROUND(INDEX(Tabelle,$B35,27),1)</f>
        <v>0</v>
      </c>
      <c r="K35" s="973">
        <f>ROUND(INDEX(Tabelle,$B35,28),1)</f>
        <v>0</v>
      </c>
      <c r="L35" s="1009" t="e">
        <f>'Ration Milch'!V38</f>
        <v>#DIV/0!</v>
      </c>
      <c r="M35" s="1010">
        <f>'Ration Milch'!W38</f>
        <v>0</v>
      </c>
      <c r="N35" s="1011">
        <f>M35*E35</f>
        <v>0</v>
      </c>
      <c r="O35" s="1012">
        <f>M35*F35</f>
        <v>0</v>
      </c>
      <c r="P35" s="1012">
        <f>M35*G35</f>
        <v>0</v>
      </c>
      <c r="Q35" s="1012">
        <f>+M35*H35</f>
        <v>0</v>
      </c>
      <c r="R35" s="1013">
        <f>+M35*I35</f>
        <v>0</v>
      </c>
      <c r="S35" s="1012">
        <f>+M35*J35</f>
        <v>0</v>
      </c>
      <c r="T35" s="957">
        <f>+M35*K35</f>
        <v>0</v>
      </c>
      <c r="U35" s="535" t="str">
        <f>IF(M35=0,"",IF(COUNTIF(C35:J35,0)&gt;0,"?",""))</f>
        <v/>
      </c>
    </row>
    <row r="36" spans="1:21" s="4" customFormat="1" ht="25.5" thickBot="1" x14ac:dyDescent="0.3">
      <c r="A36" s="855"/>
      <c r="B36" s="1014"/>
      <c r="C36" s="913"/>
      <c r="D36" s="1015"/>
      <c r="E36" s="864"/>
      <c r="F36" s="1016"/>
      <c r="G36" s="1016"/>
      <c r="H36" s="1016"/>
      <c r="I36" s="1016"/>
      <c r="J36" s="1016"/>
      <c r="K36" s="1016"/>
      <c r="L36" s="1017" t="str">
        <f>'Ration Milch'!V39</f>
        <v>FM kg</v>
      </c>
      <c r="M36" s="1018" t="str">
        <f>'Ration Milch'!W39</f>
        <v>TM kg</v>
      </c>
      <c r="N36" s="1017" t="str">
        <f>N14&amp;"                   "&amp;N15</f>
        <v xml:space="preserve">Ca                   g </v>
      </c>
      <c r="O36" s="1019" t="str">
        <f>O14&amp;"                   "&amp;O15</f>
        <v>P                   g</v>
      </c>
      <c r="P36" s="1019" t="str">
        <f>P14&amp;"                   "&amp;P15</f>
        <v>Na                   g</v>
      </c>
      <c r="Q36" s="1019" t="str">
        <f>Q14&amp;"                   "&amp;Q15</f>
        <v>Mg                   g</v>
      </c>
      <c r="R36" s="1019" t="str">
        <f>R14&amp;"                   "&amp;R15</f>
        <v>K                   g</v>
      </c>
      <c r="S36" s="1019" t="str">
        <f>S14&amp;"                "&amp;S15</f>
        <v>Se                mg</v>
      </c>
      <c r="T36" s="1020" t="str">
        <f>T14&amp;"         "&amp;T15</f>
        <v>DCAB         meq</v>
      </c>
      <c r="U36" s="854"/>
    </row>
    <row r="37" spans="1:21" s="5" customFormat="1" ht="18.75" customHeight="1" thickBot="1" x14ac:dyDescent="0.3">
      <c r="A37" s="855"/>
      <c r="B37" s="853"/>
      <c r="C37" s="427"/>
      <c r="D37" s="427"/>
      <c r="E37" s="427"/>
      <c r="F37" s="427"/>
      <c r="G37" s="427"/>
      <c r="H37" s="1016"/>
      <c r="I37" s="1016"/>
      <c r="J37" s="1016"/>
      <c r="K37" s="1002" t="s">
        <v>27</v>
      </c>
      <c r="L37" s="1021" t="e">
        <f>'Ration Milch'!V40</f>
        <v>#DIV/0!</v>
      </c>
      <c r="M37" s="1022">
        <f>'Ration Milch'!W40</f>
        <v>0</v>
      </c>
      <c r="N37" s="1023">
        <f t="shared" ref="N37:T37" si="9">N30+N34+N35</f>
        <v>0</v>
      </c>
      <c r="O37" s="1024">
        <f t="shared" si="9"/>
        <v>0</v>
      </c>
      <c r="P37" s="1024">
        <f t="shared" si="9"/>
        <v>0</v>
      </c>
      <c r="Q37" s="1024">
        <f t="shared" si="9"/>
        <v>0</v>
      </c>
      <c r="R37" s="1024">
        <f t="shared" si="9"/>
        <v>0</v>
      </c>
      <c r="S37" s="1024">
        <f t="shared" si="9"/>
        <v>0</v>
      </c>
      <c r="T37" s="1025">
        <f t="shared" si="9"/>
        <v>0</v>
      </c>
      <c r="U37" s="978"/>
    </row>
    <row r="38" spans="1:21" s="5" customFormat="1" ht="18.75" customHeight="1" thickBot="1" x14ac:dyDescent="0.3">
      <c r="A38" s="852"/>
      <c r="B38" s="853"/>
      <c r="C38" s="427"/>
      <c r="D38" s="427"/>
      <c r="E38" s="427"/>
      <c r="F38" s="427"/>
      <c r="G38" s="427"/>
      <c r="H38" s="427"/>
      <c r="I38" s="427"/>
      <c r="J38" s="427"/>
      <c r="K38" s="409"/>
      <c r="L38" s="427"/>
      <c r="M38" s="902" t="s">
        <v>146</v>
      </c>
      <c r="N38" s="979" t="str">
        <f t="shared" ref="N38:S38" si="10">IF($M$37&gt;0,N37/$M$37,"")</f>
        <v/>
      </c>
      <c r="O38" s="980" t="str">
        <f t="shared" si="10"/>
        <v/>
      </c>
      <c r="P38" s="980" t="str">
        <f t="shared" si="10"/>
        <v/>
      </c>
      <c r="Q38" s="980" t="str">
        <f t="shared" si="10"/>
        <v/>
      </c>
      <c r="R38" s="980" t="str">
        <f t="shared" si="10"/>
        <v/>
      </c>
      <c r="S38" s="980" t="str">
        <f t="shared" si="10"/>
        <v/>
      </c>
      <c r="T38" s="1006" t="str">
        <f>IF($M$37&gt;0,T37/$M$37,"")</f>
        <v/>
      </c>
      <c r="U38" s="978"/>
    </row>
    <row r="39" spans="1:21" s="5" customFormat="1" ht="18.75" customHeight="1" thickBot="1" x14ac:dyDescent="0.3">
      <c r="A39" s="852"/>
      <c r="B39" s="853"/>
      <c r="C39" s="427"/>
      <c r="D39" s="427"/>
      <c r="E39" s="427"/>
      <c r="F39" s="427"/>
      <c r="G39" s="427"/>
      <c r="H39" s="427"/>
      <c r="I39" s="427"/>
      <c r="J39" s="409"/>
      <c r="K39" s="427"/>
      <c r="L39" s="427"/>
      <c r="M39" s="902" t="s">
        <v>124</v>
      </c>
      <c r="N39" s="985">
        <f t="shared" ref="N39:S39" si="11">IF(N$9=0,0,(N37-N$8)/N$9)</f>
        <v>0</v>
      </c>
      <c r="O39" s="986">
        <f t="shared" si="11"/>
        <v>0</v>
      </c>
      <c r="P39" s="987">
        <f t="shared" si="11"/>
        <v>0</v>
      </c>
      <c r="Q39" s="1026">
        <f t="shared" si="11"/>
        <v>0</v>
      </c>
      <c r="R39" s="1026">
        <f t="shared" si="11"/>
        <v>0</v>
      </c>
      <c r="S39" s="1027">
        <f t="shared" si="11"/>
        <v>0</v>
      </c>
      <c r="T39" s="1028">
        <f>IF(T$9=0,0,(T37-T$8)/T$9)</f>
        <v>0</v>
      </c>
      <c r="U39" s="990"/>
    </row>
    <row r="40" spans="1:21" s="5" customFormat="1" ht="18.75" customHeight="1" thickBot="1" x14ac:dyDescent="0.3">
      <c r="A40" s="852"/>
      <c r="B40" s="853"/>
      <c r="C40" s="427"/>
      <c r="D40" s="427"/>
      <c r="E40" s="427"/>
      <c r="F40" s="427"/>
      <c r="G40" s="427"/>
      <c r="H40" s="427"/>
      <c r="I40" s="427"/>
      <c r="J40" s="427"/>
      <c r="K40" s="1029"/>
      <c r="L40" s="1029"/>
      <c r="M40" s="989" t="s">
        <v>44</v>
      </c>
      <c r="N40" s="1030" t="str">
        <f t="shared" ref="N40:S40" si="12">IF(N11=0,"",+N37/N11)</f>
        <v/>
      </c>
      <c r="O40" s="1031" t="str">
        <f t="shared" si="12"/>
        <v/>
      </c>
      <c r="P40" s="1031" t="str">
        <f t="shared" si="12"/>
        <v/>
      </c>
      <c r="Q40" s="1032" t="str">
        <f t="shared" si="12"/>
        <v/>
      </c>
      <c r="R40" s="1032" t="str">
        <f t="shared" si="12"/>
        <v/>
      </c>
      <c r="S40" s="1031" t="str">
        <f t="shared" si="12"/>
        <v/>
      </c>
      <c r="T40" s="1033" t="s">
        <v>396</v>
      </c>
      <c r="U40" s="1034"/>
    </row>
    <row r="41" spans="1:21" s="5" customFormat="1" ht="18.75" customHeight="1" x14ac:dyDescent="0.25">
      <c r="A41" s="852"/>
      <c r="B41" s="853"/>
      <c r="C41" s="427"/>
      <c r="D41" s="427"/>
      <c r="E41" s="427"/>
      <c r="F41" s="427"/>
      <c r="G41" s="427"/>
      <c r="H41" s="427"/>
      <c r="I41" s="427"/>
      <c r="J41" s="427"/>
      <c r="K41" s="1029"/>
      <c r="L41" s="1029"/>
      <c r="M41" s="989"/>
      <c r="N41" s="989"/>
      <c r="O41" s="989"/>
      <c r="P41" s="989"/>
      <c r="Q41" s="989"/>
      <c r="R41" s="989"/>
      <c r="S41" s="989"/>
      <c r="T41" s="989"/>
      <c r="U41" s="1034"/>
    </row>
    <row r="42" spans="1:21" s="7" customFormat="1" ht="14.25" customHeight="1" thickBot="1" x14ac:dyDescent="0.25">
      <c r="A42" s="131" t="str">
        <f>'Zuteilung-Milchleistungsfutter'!$A$50</f>
        <v xml:space="preserve">             Die Daten sind auf Plausibilität zu prüfen, um Eingabe- und Berechnungsfehler auszuschließen. Es wird keine Gewähr zur Richtigkeit der Daten übernommen.</v>
      </c>
      <c r="B42" s="132"/>
      <c r="C42" s="132"/>
      <c r="D42" s="132"/>
      <c r="E42" s="132"/>
      <c r="F42" s="132"/>
      <c r="G42" s="132"/>
      <c r="H42" s="132"/>
      <c r="I42" s="132"/>
      <c r="J42" s="132"/>
      <c r="K42" s="132"/>
      <c r="L42" s="132"/>
      <c r="M42" s="132"/>
      <c r="N42" s="132"/>
      <c r="O42" s="132"/>
      <c r="P42" s="134"/>
      <c r="Q42" s="135"/>
      <c r="R42" s="135"/>
      <c r="S42" s="132"/>
      <c r="T42" s="132"/>
      <c r="U42" s="133"/>
    </row>
    <row r="43" spans="1:21" ht="13.5" hidden="1" thickTop="1" x14ac:dyDescent="0.2"/>
    <row r="46" spans="1:21" hidden="1" x14ac:dyDescent="0.2">
      <c r="E46" s="6"/>
    </row>
    <row r="47" spans="1:21" hidden="1" x14ac:dyDescent="0.2">
      <c r="E47" s="6"/>
    </row>
    <row r="48" spans="1:21" hidden="1" x14ac:dyDescent="0.2">
      <c r="E48" s="6"/>
    </row>
    <row r="49" spans="5:5" hidden="1" x14ac:dyDescent="0.2">
      <c r="E49" s="6"/>
    </row>
    <row r="50" spans="5:5" hidden="1" x14ac:dyDescent="0.2">
      <c r="E50" s="6"/>
    </row>
    <row r="51" spans="5:5" hidden="1" x14ac:dyDescent="0.2">
      <c r="E51" s="6"/>
    </row>
  </sheetData>
  <sheetProtection algorithmName="SHA-512" hashValue="Cue/FKYl6gLLRMb7PMyNku2IwQRpq0JV3yq+ti8T80m09dX1THH5ikWGL94Mft4K92UWxVcopewKt/jGt0Ucdg==" saltValue="DMwJ1X6B51mbIlyiXXt92A==" spinCount="100000" sheet="1" objects="1" scenarios="1"/>
  <customSheetViews>
    <customSheetView guid="{2DEE39A3-88C5-4D7F-AEB9-0B43FD431165}" showGridLines="0" zeroValues="0" fitToPage="1" hiddenRows="1" hiddenColumns="1">
      <selection activeCell="Q10" sqref="Q10"/>
      <pageMargins left="0.39370078740157483" right="0.31496062992125984" top="0.70866141732283472" bottom="0.31496062992125984" header="0.51181102362204722" footer="0.11811023622047245"/>
      <printOptions horizontalCentered="1"/>
      <pageSetup paperSize="9" scale="76" orientation="landscape" r:id="rId1"/>
      <headerFooter>
        <oddFooter>&amp;L&amp;F&amp;A&amp;R&amp;D&amp;T</oddFooter>
      </headerFooter>
    </customSheetView>
    <customSheetView guid="{117F828A-4542-4D18-9CDB-B606529AAD66}" showGridLines="0" showRowCol="0" zeroValues="0" fitToPage="1" hiddenRows="1" hiddenColumns="1">
      <selection activeCell="D6" sqref="D6"/>
      <pageMargins left="0.39370078740157483" right="0.31496062992125984" top="0.70866141732283472" bottom="0.31496062992125984" header="0.51181102362204722" footer="0.11811023622047245"/>
      <printOptions horizontalCentered="1"/>
      <pageSetup paperSize="9" scale="76" orientation="landscape" r:id="rId2"/>
      <headerFooter>
        <oddFooter>&amp;L&amp;F&amp;A&amp;R&amp;D&amp;T</oddFooter>
      </headerFooter>
    </customSheetView>
  </customSheetViews>
  <phoneticPr fontId="8" type="noConversion"/>
  <conditionalFormatting sqref="U16:U20">
    <cfRule type="containsText" dxfId="27" priority="3" operator="containsText" text="?">
      <formula>NOT(ISERROR(SEARCH("?",U16)))</formula>
    </cfRule>
  </conditionalFormatting>
  <conditionalFormatting sqref="U25:U29">
    <cfRule type="containsText" dxfId="26" priority="2" operator="containsText" text="?">
      <formula>NOT(ISERROR(SEARCH("?",U25)))</formula>
    </cfRule>
  </conditionalFormatting>
  <conditionalFormatting sqref="U34:U35">
    <cfRule type="containsText" dxfId="25" priority="1" operator="containsText" text="?">
      <formula>NOT(ISERROR(SEARCH("?",U34)))</formula>
    </cfRule>
  </conditionalFormatting>
  <printOptions horizontalCentered="1"/>
  <pageMargins left="0.39370078740157483" right="0.31496062992125984" top="0.70866141732283472" bottom="0.31496062992125984" header="0.51181102362204722" footer="0.11811023622047245"/>
  <pageSetup paperSize="9" scale="64" orientation="landscape" r:id="rId3"/>
  <headerFooter>
    <oddFooter>&amp;L&amp;F&amp;A&amp;R&amp;D&amp;T</oddFooter>
  </headerFooter>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rgb="FF92D050"/>
    <pageSetUpPr fitToPage="1"/>
  </sheetPr>
  <dimension ref="A1:AM66"/>
  <sheetViews>
    <sheetView showGridLines="0" showRowColHeaders="0" zoomScale="115" zoomScaleNormal="100" workbookViewId="0">
      <selection activeCell="Q22" sqref="Q22"/>
    </sheetView>
  </sheetViews>
  <sheetFormatPr baseColWidth="10" defaultColWidth="0" defaultRowHeight="11.25" zeroHeight="1" outlineLevelCol="1" x14ac:dyDescent="0.2"/>
  <cols>
    <col min="1" max="1" width="12.140625" style="41" customWidth="1"/>
    <col min="2" max="5" width="12.140625" style="41" hidden="1" customWidth="1"/>
    <col min="6" max="6" width="10.140625" style="41" customWidth="1"/>
    <col min="7" max="7" width="11.85546875" style="41" customWidth="1"/>
    <col min="8" max="9" width="10.140625" style="41" customWidth="1"/>
    <col min="10" max="10" width="12.5703125" style="41" customWidth="1"/>
    <col min="11" max="11" width="1.42578125" style="41" customWidth="1"/>
    <col min="12" max="12" width="10.42578125" style="41" customWidth="1"/>
    <col min="13" max="13" width="1.42578125" style="41" customWidth="1"/>
    <col min="14" max="17" width="9.140625" style="41" customWidth="1"/>
    <col min="18" max="18" width="9.140625" style="41" hidden="1" customWidth="1" outlineLevel="1"/>
    <col min="19" max="19" width="10.42578125" style="41" hidden="1" customWidth="1" outlineLevel="1"/>
    <col min="20" max="20" width="10.140625" style="41" hidden="1" customWidth="1" outlineLevel="1"/>
    <col min="21" max="21" width="9.140625" style="41" hidden="1" customWidth="1" outlineLevel="1"/>
    <col min="22" max="22" width="2.42578125" style="41" customWidth="1" collapsed="1"/>
    <col min="23" max="28" width="9.28515625" style="41" hidden="1" customWidth="1" outlineLevel="1"/>
    <col min="29" max="29" width="11" style="41" customWidth="1" collapsed="1"/>
    <col min="30" max="31" width="15.42578125" style="41" customWidth="1"/>
    <col min="32" max="32" width="18.5703125" style="41" customWidth="1"/>
    <col min="33" max="33" width="1.42578125" style="41" customWidth="1"/>
    <col min="34" max="34" width="0.5703125" style="61" customWidth="1"/>
    <col min="35" max="39" width="11.42578125" style="61" hidden="1" customWidth="1"/>
    <col min="40" max="16384" width="11.42578125" style="41" hidden="1"/>
  </cols>
  <sheetData>
    <row r="1" spans="1:39" ht="34.5" customHeight="1" thickTop="1" x14ac:dyDescent="0.2">
      <c r="A1" s="1455" t="s">
        <v>570</v>
      </c>
      <c r="B1" s="1456"/>
      <c r="C1" s="1456"/>
      <c r="D1" s="1456"/>
      <c r="E1" s="1456"/>
      <c r="F1" s="1456"/>
      <c r="G1" s="1456"/>
      <c r="H1" s="1456"/>
      <c r="I1" s="1456"/>
      <c r="J1" s="1456"/>
      <c r="K1" s="1456"/>
      <c r="L1" s="1456"/>
      <c r="M1" s="1456"/>
      <c r="N1" s="1456"/>
      <c r="O1" s="1456"/>
      <c r="P1" s="1456"/>
      <c r="Q1" s="1456"/>
      <c r="R1" s="1456"/>
      <c r="S1" s="1456"/>
      <c r="T1" s="1456"/>
      <c r="U1" s="1456"/>
      <c r="V1" s="1456"/>
      <c r="W1" s="1456"/>
      <c r="X1" s="1456"/>
      <c r="Y1" s="1456"/>
      <c r="Z1" s="1456"/>
      <c r="AA1" s="1456"/>
      <c r="AB1" s="1456"/>
      <c r="AC1" s="1456"/>
      <c r="AD1" s="1456"/>
      <c r="AE1" s="1456"/>
      <c r="AF1" s="1456"/>
      <c r="AG1" s="40"/>
    </row>
    <row r="2" spans="1:39" ht="5.0999999999999996" customHeight="1" x14ac:dyDescent="0.2">
      <c r="A2" s="42"/>
      <c r="B2" s="44"/>
      <c r="C2" s="44"/>
      <c r="D2" s="44"/>
      <c r="E2" s="44"/>
      <c r="F2" s="44"/>
      <c r="G2" s="44"/>
      <c r="H2" s="44"/>
      <c r="I2" s="44"/>
      <c r="J2" s="1377"/>
      <c r="K2" s="1377"/>
      <c r="L2" s="43"/>
      <c r="M2" s="43"/>
      <c r="N2" s="43"/>
      <c r="O2" s="43"/>
      <c r="P2" s="43"/>
      <c r="Q2" s="43"/>
      <c r="R2" s="43"/>
      <c r="S2" s="43"/>
      <c r="T2" s="43"/>
      <c r="U2" s="43"/>
      <c r="V2" s="43"/>
      <c r="W2" s="43"/>
      <c r="X2" s="43"/>
      <c r="Y2" s="43"/>
      <c r="Z2" s="43"/>
      <c r="AA2" s="43"/>
      <c r="AB2" s="43"/>
      <c r="AC2" s="43"/>
      <c r="AD2" s="43"/>
      <c r="AE2" s="43"/>
      <c r="AF2" s="1373">
        <f>INDEX(Tabelle_1,AF$4,3)</f>
        <v>1E-4</v>
      </c>
      <c r="AG2" s="45"/>
    </row>
    <row r="3" spans="1:39" s="53" customFormat="1" ht="4.5" customHeight="1" x14ac:dyDescent="0.2">
      <c r="A3" s="50"/>
      <c r="B3" s="51"/>
      <c r="C3" s="51"/>
      <c r="D3" s="51"/>
      <c r="E3" s="51"/>
      <c r="F3" s="51"/>
      <c r="G3" s="51"/>
      <c r="H3" s="51"/>
      <c r="I3" s="51"/>
      <c r="J3" s="1378"/>
      <c r="K3" s="1378"/>
      <c r="L3" s="48"/>
      <c r="M3" s="48"/>
      <c r="N3" s="48"/>
      <c r="O3" s="48"/>
      <c r="P3" s="48"/>
      <c r="Q3" s="48"/>
      <c r="R3" s="48"/>
      <c r="S3" s="48"/>
      <c r="T3" s="48"/>
      <c r="U3" s="48"/>
      <c r="V3" s="48"/>
      <c r="W3" s="48"/>
      <c r="X3" s="48"/>
      <c r="Y3" s="48"/>
      <c r="Z3" s="48"/>
      <c r="AA3" s="48"/>
      <c r="AB3" s="48"/>
      <c r="AF3" s="144" t="str">
        <f>'Ration Milch'!$AB$34</f>
        <v/>
      </c>
      <c r="AG3" s="52"/>
      <c r="AH3" s="61"/>
      <c r="AI3" s="61"/>
      <c r="AJ3" s="61"/>
      <c r="AK3" s="61"/>
      <c r="AL3" s="61"/>
      <c r="AM3" s="61"/>
    </row>
    <row r="4" spans="1:39" ht="24.75" customHeight="1" x14ac:dyDescent="0.2">
      <c r="A4" s="347" t="s">
        <v>219</v>
      </c>
      <c r="B4" s="348"/>
      <c r="C4" s="348"/>
      <c r="D4" s="348"/>
      <c r="E4" s="348"/>
      <c r="F4" s="348"/>
      <c r="G4" s="348"/>
      <c r="H4" s="348"/>
      <c r="I4" s="348"/>
      <c r="J4" s="1461" t="s">
        <v>220</v>
      </c>
      <c r="K4" s="1462"/>
      <c r="L4" s="249"/>
      <c r="M4" s="250"/>
      <c r="N4" s="250"/>
      <c r="O4" s="250"/>
      <c r="P4" s="250"/>
      <c r="Q4" s="250"/>
      <c r="R4" s="250"/>
      <c r="S4" s="250"/>
      <c r="T4" s="250"/>
      <c r="U4" s="250"/>
      <c r="X4" s="278"/>
      <c r="Y4" s="278"/>
      <c r="Z4" s="278"/>
      <c r="AA4" s="278"/>
      <c r="AB4" s="278"/>
      <c r="AC4" s="278"/>
      <c r="AD4" s="1463" t="s">
        <v>377</v>
      </c>
      <c r="AE4" s="1463"/>
      <c r="AF4" s="144">
        <v>77</v>
      </c>
      <c r="AG4" s="45"/>
    </row>
    <row r="5" spans="1:39" ht="3.75" customHeight="1" x14ac:dyDescent="0.2">
      <c r="A5" s="93"/>
      <c r="B5" s="94"/>
      <c r="C5" s="94"/>
      <c r="D5" s="94"/>
      <c r="E5" s="94"/>
      <c r="F5" s="348"/>
      <c r="G5" s="94"/>
      <c r="H5" s="94"/>
      <c r="I5" s="94"/>
      <c r="J5" s="1378"/>
      <c r="K5" s="1378"/>
      <c r="X5" s="44"/>
      <c r="Y5" s="44"/>
      <c r="Z5" s="44"/>
      <c r="AA5" s="44"/>
      <c r="AB5" s="44"/>
      <c r="AC5" s="44"/>
      <c r="AD5" s="44"/>
      <c r="AE5" s="183"/>
      <c r="AF5" s="144"/>
      <c r="AG5" s="45"/>
    </row>
    <row r="6" spans="1:39" ht="21.75" customHeight="1" x14ac:dyDescent="0.2">
      <c r="A6" s="347" t="s">
        <v>373</v>
      </c>
      <c r="B6" s="348"/>
      <c r="C6" s="348"/>
      <c r="D6" s="348"/>
      <c r="E6" s="348"/>
      <c r="F6" s="348"/>
      <c r="G6" s="348"/>
      <c r="H6" s="348"/>
      <c r="I6" s="348"/>
      <c r="J6" s="1465">
        <v>9000</v>
      </c>
      <c r="K6" s="1466"/>
      <c r="X6" s="349"/>
      <c r="Y6" s="349"/>
      <c r="Z6" s="349"/>
      <c r="AA6" s="349"/>
      <c r="AB6" s="349"/>
      <c r="AC6" s="349"/>
      <c r="AD6" s="1463" t="s">
        <v>569</v>
      </c>
      <c r="AE6" s="1463"/>
      <c r="AF6" s="1035">
        <v>243</v>
      </c>
      <c r="AG6" s="47"/>
    </row>
    <row r="7" spans="1:39" ht="13.5" customHeight="1" x14ac:dyDescent="0.2">
      <c r="A7" s="93"/>
      <c r="B7" s="94"/>
      <c r="C7" s="94"/>
      <c r="D7" s="94"/>
      <c r="E7" s="94"/>
      <c r="F7" s="348"/>
      <c r="G7" s="94"/>
      <c r="H7" s="94"/>
      <c r="I7" s="94"/>
      <c r="J7" s="1378"/>
      <c r="K7" s="1378"/>
      <c r="AF7" s="1374"/>
      <c r="AG7" s="47"/>
    </row>
    <row r="8" spans="1:39" ht="21.75" customHeight="1" x14ac:dyDescent="0.2">
      <c r="A8" s="347" t="s">
        <v>218</v>
      </c>
      <c r="B8" s="348"/>
      <c r="C8" s="348"/>
      <c r="D8" s="348"/>
      <c r="E8" s="348"/>
      <c r="F8" s="348"/>
      <c r="G8" s="348"/>
      <c r="H8" s="348"/>
      <c r="I8" s="348"/>
      <c r="J8" s="1465">
        <v>3</v>
      </c>
      <c r="K8" s="1466"/>
      <c r="AD8" s="95" t="s">
        <v>341</v>
      </c>
      <c r="AF8" s="252"/>
      <c r="AG8" s="47"/>
    </row>
    <row r="9" spans="1:39" ht="4.5" customHeight="1" x14ac:dyDescent="0.2">
      <c r="A9" s="93"/>
      <c r="B9" s="94"/>
      <c r="C9" s="94"/>
      <c r="D9" s="94"/>
      <c r="E9" s="94"/>
      <c r="F9" s="348"/>
      <c r="G9" s="94"/>
      <c r="H9" s="94"/>
      <c r="I9" s="94"/>
      <c r="J9" s="1378"/>
      <c r="K9" s="1378"/>
      <c r="X9" s="48"/>
      <c r="Y9" s="48"/>
      <c r="Z9" s="48"/>
      <c r="AA9" s="48"/>
      <c r="AB9" s="48"/>
      <c r="AC9" s="48"/>
      <c r="AD9" s="53"/>
      <c r="AE9" s="53"/>
      <c r="AF9" s="1375"/>
      <c r="AG9" s="47"/>
    </row>
    <row r="10" spans="1:39" ht="21" customHeight="1" x14ac:dyDescent="0.2">
      <c r="A10" s="347" t="s">
        <v>223</v>
      </c>
      <c r="B10" s="348"/>
      <c r="C10" s="348"/>
      <c r="D10" s="348"/>
      <c r="E10" s="348"/>
      <c r="F10" s="348"/>
      <c r="G10" s="348"/>
      <c r="H10" s="348"/>
      <c r="I10" s="348"/>
      <c r="J10" s="1465">
        <v>750</v>
      </c>
      <c r="K10" s="1466"/>
      <c r="AD10" s="95" t="s">
        <v>571</v>
      </c>
      <c r="AF10" s="252"/>
      <c r="AG10" s="45"/>
    </row>
    <row r="11" spans="1:39" s="53" customFormat="1" ht="4.5" customHeight="1" x14ac:dyDescent="0.2">
      <c r="A11" s="196"/>
      <c r="B11" s="95"/>
      <c r="C11" s="95"/>
      <c r="D11" s="95"/>
      <c r="E11" s="95"/>
      <c r="F11" s="348"/>
      <c r="G11" s="348"/>
      <c r="H11" s="95"/>
      <c r="I11" s="95"/>
      <c r="J11" s="1379"/>
      <c r="K11" s="1379"/>
      <c r="L11" s="48"/>
      <c r="M11" s="48"/>
      <c r="N11" s="48"/>
      <c r="O11" s="48"/>
      <c r="P11" s="48"/>
      <c r="Q11" s="48"/>
      <c r="R11" s="48"/>
      <c r="S11" s="48"/>
      <c r="T11" s="48"/>
      <c r="U11" s="48"/>
      <c r="X11" s="48"/>
      <c r="Y11" s="48"/>
      <c r="Z11" s="48"/>
      <c r="AA11" s="48"/>
      <c r="AB11" s="48"/>
      <c r="AC11" s="48"/>
      <c r="AD11" s="183"/>
      <c r="AE11" s="183"/>
      <c r="AF11" s="144">
        <f>INDEX(Tabelle_1,AF$4,2)/1000</f>
        <v>0</v>
      </c>
      <c r="AG11" s="52"/>
      <c r="AH11" s="61"/>
      <c r="AI11" s="61"/>
      <c r="AJ11" s="61"/>
      <c r="AK11" s="61"/>
      <c r="AL11" s="61"/>
      <c r="AM11" s="61"/>
    </row>
    <row r="12" spans="1:39" ht="21" customHeight="1" x14ac:dyDescent="0.2">
      <c r="A12" s="347" t="s">
        <v>221</v>
      </c>
      <c r="B12" s="152"/>
      <c r="C12" s="152"/>
      <c r="D12" s="152"/>
      <c r="E12" s="152"/>
      <c r="F12" s="348"/>
      <c r="G12" s="348"/>
      <c r="H12" s="348"/>
      <c r="I12" s="348"/>
      <c r="J12" s="1465">
        <v>4</v>
      </c>
      <c r="K12" s="1466"/>
      <c r="AD12" s="95" t="s">
        <v>556</v>
      </c>
      <c r="AE12" s="44"/>
      <c r="AF12" s="145">
        <v>210</v>
      </c>
      <c r="AG12" s="45"/>
    </row>
    <row r="13" spans="1:39" s="53" customFormat="1" ht="3.75" customHeight="1" x14ac:dyDescent="0.2">
      <c r="A13" s="197"/>
      <c r="G13" s="348"/>
      <c r="J13" s="1375"/>
      <c r="K13" s="1375"/>
      <c r="L13" s="48"/>
      <c r="M13" s="48"/>
      <c r="N13" s="48"/>
      <c r="O13" s="48"/>
      <c r="P13" s="48"/>
      <c r="Q13" s="48"/>
      <c r="R13" s="48"/>
      <c r="S13" s="48"/>
      <c r="T13" s="48"/>
      <c r="U13" s="48"/>
      <c r="X13" s="48"/>
      <c r="Y13" s="48"/>
      <c r="Z13" s="48"/>
      <c r="AA13" s="48"/>
      <c r="AB13" s="48"/>
      <c r="AC13" s="48"/>
      <c r="AD13" s="183"/>
      <c r="AE13" s="183"/>
      <c r="AF13" s="144">
        <v>10</v>
      </c>
      <c r="AG13" s="52"/>
      <c r="AH13" s="61"/>
      <c r="AI13" s="61"/>
      <c r="AJ13" s="61"/>
      <c r="AK13" s="61"/>
      <c r="AL13" s="61"/>
      <c r="AM13" s="61"/>
    </row>
    <row r="14" spans="1:39" ht="24.75" customHeight="1" x14ac:dyDescent="0.2">
      <c r="A14" s="347" t="s">
        <v>222</v>
      </c>
      <c r="B14" s="152"/>
      <c r="C14" s="152"/>
      <c r="D14" s="152"/>
      <c r="E14" s="152"/>
      <c r="F14" s="152"/>
      <c r="G14" s="152"/>
      <c r="H14" s="348"/>
      <c r="I14" s="348"/>
      <c r="J14" s="1465">
        <v>3.4</v>
      </c>
      <c r="K14" s="1466"/>
      <c r="AD14" s="95" t="s">
        <v>347</v>
      </c>
      <c r="AE14" s="44"/>
      <c r="AF14" s="146">
        <f>AF13*100</f>
        <v>1000</v>
      </c>
      <c r="AG14" s="45"/>
    </row>
    <row r="15" spans="1:39" s="53" customFormat="1" ht="4.5" customHeight="1" x14ac:dyDescent="0.2">
      <c r="A15" s="93"/>
      <c r="B15" s="94"/>
      <c r="C15" s="94"/>
      <c r="D15" s="94"/>
      <c r="E15" s="94"/>
      <c r="F15" s="94"/>
      <c r="G15" s="94"/>
      <c r="H15" s="94"/>
      <c r="I15" s="94"/>
      <c r="J15" s="1378"/>
      <c r="K15" s="1378"/>
      <c r="L15" s="48"/>
      <c r="M15" s="48"/>
      <c r="N15" s="48"/>
      <c r="O15" s="48"/>
      <c r="P15" s="48"/>
      <c r="Q15" s="48"/>
      <c r="R15" s="48"/>
      <c r="S15" s="48"/>
      <c r="T15" s="48"/>
      <c r="U15" s="48"/>
      <c r="X15" s="48"/>
      <c r="Y15" s="48"/>
      <c r="Z15" s="48"/>
      <c r="AA15" s="48"/>
      <c r="AB15" s="48"/>
      <c r="AC15" s="48"/>
      <c r="AD15" s="183"/>
      <c r="AE15" s="183"/>
      <c r="AF15" s="144">
        <v>30</v>
      </c>
      <c r="AG15" s="52"/>
      <c r="AH15" s="61"/>
      <c r="AI15" s="61"/>
      <c r="AJ15" s="61"/>
      <c r="AK15" s="61"/>
      <c r="AL15" s="61"/>
      <c r="AM15" s="61"/>
    </row>
    <row r="16" spans="1:39" ht="21" customHeight="1" x14ac:dyDescent="0.2">
      <c r="A16" s="1457"/>
      <c r="B16" s="1458"/>
      <c r="C16" s="1458"/>
      <c r="D16" s="1458"/>
      <c r="E16" s="1458"/>
      <c r="F16" s="1458"/>
      <c r="G16" s="1458"/>
      <c r="H16" s="348"/>
      <c r="J16" s="1374"/>
      <c r="K16" s="1374"/>
      <c r="AD16" s="95" t="s">
        <v>346</v>
      </c>
      <c r="AE16" s="251"/>
      <c r="AF16" s="147">
        <f>AF15/100</f>
        <v>0.3</v>
      </c>
      <c r="AG16" s="45"/>
    </row>
    <row r="17" spans="1:39" s="53" customFormat="1" ht="13.5" customHeight="1" x14ac:dyDescent="0.2">
      <c r="A17" s="198"/>
      <c r="B17" s="152"/>
      <c r="C17" s="152"/>
      <c r="D17" s="152"/>
      <c r="E17" s="152"/>
      <c r="F17" s="41"/>
      <c r="G17" s="41"/>
      <c r="H17" s="41"/>
      <c r="J17" s="144">
        <f>INDEX(Tabelle_1,AF$6,3)</f>
        <v>0</v>
      </c>
      <c r="K17" s="1375"/>
      <c r="L17" s="48"/>
      <c r="M17" s="48"/>
      <c r="N17" s="48"/>
      <c r="O17" s="48"/>
      <c r="P17" s="48"/>
      <c r="Q17" s="48"/>
      <c r="R17" s="48"/>
      <c r="S17" s="48"/>
      <c r="T17" s="48"/>
      <c r="U17" s="48"/>
      <c r="X17" s="48"/>
      <c r="Y17" s="48"/>
      <c r="Z17" s="48"/>
      <c r="AA17" s="48"/>
      <c r="AB17" s="48"/>
      <c r="AC17" s="48"/>
      <c r="AD17" s="183"/>
      <c r="AE17" s="183"/>
      <c r="AF17" s="144">
        <v>100</v>
      </c>
      <c r="AG17" s="52"/>
      <c r="AH17" s="61"/>
      <c r="AI17" s="61"/>
      <c r="AJ17" s="61"/>
      <c r="AK17" s="61"/>
      <c r="AL17" s="61"/>
      <c r="AM17" s="61"/>
    </row>
    <row r="18" spans="1:39" ht="21" customHeight="1" x14ac:dyDescent="0.2">
      <c r="A18" s="1459" t="s">
        <v>376</v>
      </c>
      <c r="B18" s="1460"/>
      <c r="C18" s="1460"/>
      <c r="D18" s="1460"/>
      <c r="E18" s="1460"/>
      <c r="F18" s="1460"/>
      <c r="G18" s="1460"/>
      <c r="H18" s="1460"/>
      <c r="I18" s="1460"/>
      <c r="J18" s="1467" t="str">
        <f>'Ration Milch'!Y34</f>
        <v/>
      </c>
      <c r="K18" s="1467"/>
      <c r="L18" s="46" t="str">
        <f>'Ration Milch'!AC34</f>
        <v/>
      </c>
      <c r="AD18" s="95" t="s">
        <v>224</v>
      </c>
      <c r="AE18" s="44"/>
      <c r="AF18" s="1376">
        <f>AF17/100</f>
        <v>1</v>
      </c>
      <c r="AG18" s="45"/>
    </row>
    <row r="19" spans="1:39" s="53" customFormat="1" ht="4.5" customHeight="1" x14ac:dyDescent="0.2">
      <c r="A19" s="197"/>
      <c r="J19" s="144">
        <f>INDEX(Tabelle_1,AF$6,2)/1000</f>
        <v>0</v>
      </c>
      <c r="K19" s="1375"/>
      <c r="L19" s="48"/>
      <c r="M19" s="48"/>
      <c r="N19" s="48"/>
      <c r="O19" s="48"/>
      <c r="P19" s="48"/>
      <c r="Q19" s="48"/>
      <c r="R19" s="48"/>
      <c r="S19" s="48"/>
      <c r="T19" s="48"/>
      <c r="U19" s="48"/>
      <c r="AF19" s="1375"/>
      <c r="AG19" s="52"/>
      <c r="AH19" s="61"/>
      <c r="AI19" s="61"/>
      <c r="AJ19" s="61"/>
      <c r="AK19" s="61"/>
      <c r="AL19" s="61"/>
      <c r="AM19" s="61"/>
    </row>
    <row r="20" spans="1:39" s="182" customFormat="1" ht="40.5" customHeight="1" x14ac:dyDescent="0.2">
      <c r="A20" s="177" t="s">
        <v>2</v>
      </c>
      <c r="B20" s="178" t="s">
        <v>273</v>
      </c>
      <c r="C20" s="178" t="s">
        <v>372</v>
      </c>
      <c r="D20" s="178" t="s">
        <v>374</v>
      </c>
      <c r="E20" s="178" t="s">
        <v>375</v>
      </c>
      <c r="F20" s="1319" t="s">
        <v>225</v>
      </c>
      <c r="G20" s="1319" t="s">
        <v>351</v>
      </c>
      <c r="H20" s="1319" t="s">
        <v>359</v>
      </c>
      <c r="I20" s="1319" t="s">
        <v>357</v>
      </c>
      <c r="J20" s="1319" t="s">
        <v>350</v>
      </c>
      <c r="K20" s="1464" t="s">
        <v>348</v>
      </c>
      <c r="L20" s="1464"/>
      <c r="M20" s="1464"/>
      <c r="N20" s="1319" t="s">
        <v>358</v>
      </c>
      <c r="O20" s="1319" t="s">
        <v>349</v>
      </c>
      <c r="P20" s="1319" t="s">
        <v>352</v>
      </c>
      <c r="Q20" s="1319" t="s">
        <v>344</v>
      </c>
      <c r="R20" s="1319" t="s">
        <v>353</v>
      </c>
      <c r="S20" s="1319" t="s">
        <v>554</v>
      </c>
      <c r="T20" s="1319" t="s">
        <v>555</v>
      </c>
      <c r="U20" s="1319" t="s">
        <v>354</v>
      </c>
      <c r="V20" s="1319"/>
      <c r="W20" s="1319" t="s">
        <v>39</v>
      </c>
      <c r="X20" s="1319" t="s">
        <v>40</v>
      </c>
      <c r="Y20" s="1319" t="s">
        <v>41</v>
      </c>
      <c r="Z20" s="1319" t="s">
        <v>42</v>
      </c>
      <c r="AA20" s="1319" t="s">
        <v>43</v>
      </c>
      <c r="AB20" s="1319" t="s">
        <v>345</v>
      </c>
      <c r="AC20" s="1319" t="s">
        <v>343</v>
      </c>
      <c r="AD20" s="1319" t="s">
        <v>342</v>
      </c>
      <c r="AE20" s="277" t="s">
        <v>378</v>
      </c>
      <c r="AF20" s="179" t="s">
        <v>572</v>
      </c>
      <c r="AG20" s="180"/>
      <c r="AH20" s="181"/>
      <c r="AI20" s="181"/>
      <c r="AJ20" s="181"/>
      <c r="AK20" s="181"/>
      <c r="AL20" s="181"/>
      <c r="AM20" s="181"/>
    </row>
    <row r="21" spans="1:39" ht="16.5" customHeight="1" x14ac:dyDescent="0.25">
      <c r="A21" s="153">
        <f>IF(MLF_LakTag1=7000,14,IF(MLF_LakTag1=9000,16,IF(MLF_LakTag1=11000,18, "Eingabefehler - ECM")))</f>
        <v>16</v>
      </c>
      <c r="B21" s="151">
        <f t="shared" ref="B21:B49" si="0">A21*(MLF_Fett1*0.38+MLF_Prot1*0.21+1.05)/3.28</f>
        <v>16.019512195121951</v>
      </c>
      <c r="C21" s="256">
        <f>IF(MLF_LakTag1=7000,273,IF(MLF_LakTag1=9000,301,336))</f>
        <v>301</v>
      </c>
      <c r="D21" s="256">
        <f t="shared" ref="D21:D49" si="1">MAX(IF(MLF_LakTag1=7000,0.00000240679*B21^5-0.00034272276*B21^4+0.01751018612*B21^3-0.38414129327*B21^2+3.70025873859*B21-12.83588,IF(MLF_LakTag1=9000,0.00000227834*B21^5-0.00033174803*B21^4+0.01734743992*B21^3-0.38912715564*B21^2+3.8067140359*B21-13.1978,IF(MLF_LakTag1=11000,0.00000354922*B21^5-0.00053511787*B21^4+0.02970736291*B21^3-0.74031250256*B21^2+8.39997601052*B21-35.30319754533))),J21)</f>
        <v>0</v>
      </c>
      <c r="E21" s="256" t="e">
        <f>IF(IF(MLF_KFmax1/MLF_Kf_TS1*$F21&lt;((($B21*3.28+MLF_LM1^0.75*0.293)/$F21)-MLF_GF_NEL1)/(MLF_KF_NEL1-MLF_GF_NEL1)*$F21/MLF_Kf_TS1,MLF_KFmax1/MLF_Kf_TS1*$F21,IF(((($B21*3.28+MLF_LM1^0.75*0.293)/$F21)-MLF_GF_NEL1)/(MLF_KF_NEL1-MLF_GF_NEL1)*$F21/MLF_Kf_TS1&lt;0,0,((($B21*3.28+MLF_LM1^0.75*0.293)/$F21)-MLF_GF_NEL1)/(MLF_KF_NEL1-MLF_GF_NEL1)*$F21/MLF_Kf_TS1))&lt;MLF_KFmin1/1000,MLF_KFmin1/1000,IF(MLF_KFmax1/MLF_Kf_TS1*$F21&lt;((($B21*3.28+MLF_LM1^0.75*0.293)/$F21)-MLF_GF_NEL1)/(MLF_KF_NEL1-MLF_GF_NEL1)*$F21/MLF_Kf_TS1,MLF_KFmax1/MLF_Kf_TS1*$F21,IF(((($B21*3.28+MLF_LM1^0.75*0.293)/$F21)-MLF_GF_NEL1)/(MLF_KF_NEL1-MLF_GF_NEL1)*$F21/MLF_Kf_TS1&lt;0,0,((($B21*3.28+MLF_LM1^0.75*0.293)/$F21)-MLF_GF_NEL1)/(MLF_KF_NEL1-MLF_GF_NEL1)*$F21/MLF_Kf_TS1)))</f>
        <v>#DIV/0!</v>
      </c>
      <c r="F21" s="60" t="e">
        <f>IF(OR(MLF_LakNr1="",C21="",MLF_LM1="",MLF_Rasse1="",MLF_Fett1="",MLF_Prot1=""),"",(3.878+IF(MLF_Rasse1="HF",-2.19,IF(MLF_Rasse1="FV",-2.631,-1.826))+IF(MLF_LakNr1=1,-0.728,0.218)+(-4.287+4.153*(1-EXP(-0.01486*C21)))+MLF_LM1*(0.0148-0.0000474*C21+0.0000000904*C21^2)+B21*(0.0825+0.0008098*C21-0.000000966*C21^2)+D21*(0.6962-0.0023289*C21+0.0000040634*C21^2)+0.858*MLF_GF_NEL1)*0.93+0.47)*MLF_ITkorr1</f>
        <v>#VALUE!</v>
      </c>
      <c r="G21" s="60" t="e">
        <f>(F21-MLF_Kf_TS1*E21)</f>
        <v>#VALUE!</v>
      </c>
      <c r="H21" s="340" t="e">
        <f>F21-N21</f>
        <v>#VALUE!</v>
      </c>
      <c r="I21" s="60" t="e">
        <f>((TM_Grundration-TM_GF)/TM_Grundration)*G21</f>
        <v>#DIV/0!</v>
      </c>
      <c r="J21" s="60">
        <f>IF(A21&lt;MLF_AF_Milch1,0,MLF_AF_max1)</f>
        <v>0</v>
      </c>
      <c r="K21" s="58">
        <f>SR21</f>
        <v>0</v>
      </c>
      <c r="L21" s="184" t="e">
        <f>IF(($E21*MLF_Kf_TS1*MLF_KF_NEL1-$J21*MLF_AF_NEL1*MLF_AF_TS1)/(MLF_KF_NEL1*MLF_Kf_TS1)&lt;0,0,($E21*MLF_Kf_TS1*MLF_KF_NEL1-$J21*MLF_AF_NEL1*MLF_AF_TS1)/(MLF_KF_NEL1*MLF_Kf_TS1))</f>
        <v>#DIV/0!</v>
      </c>
      <c r="M21" s="54" t="e">
        <f>S21</f>
        <v>#VALUE!</v>
      </c>
      <c r="N21" s="185" t="e">
        <f t="shared" ref="N21:N49" si="2">I21+J21*INDEX(Tabelle_1,MLF_AF_Art1,2)/1000+L21*INDEX(Tabelle_1,MLF_Art_1,2)/1000</f>
        <v>#DIV/0!</v>
      </c>
      <c r="O21" s="185" t="e">
        <f t="shared" ref="O21:O49" si="3">($G21*MLF_GF_NEL1+$J21*INDEX(Tabelle_1,MLF_AF_Art1,3)/AF_TS1+$L21*INDEX(Tabelle_1,MLF_Art_1,3)/MLF_Kf_TS1)/$F21</f>
        <v>#VALUE!</v>
      </c>
      <c r="P21" s="187" t="e">
        <f t="shared" ref="P21:P49" si="4">($G21*GR_nXP+$J21*INDEX(Tabelle_1,MLF_AF_Art1,7)*$J$19+$L21*INDEX(Tabelle_1,MLF_Art_1,7)*MLF_Kf_TS1)/$F21</f>
        <v>#VALUE!</v>
      </c>
      <c r="Q21" s="149" t="e">
        <f t="shared" ref="Q21:Q49" si="5">$G21*GR_RNB+$J21*INDEX(Tabelle_1,MLF_AF_Art1,8)*$J$19+$L21*INDEX(Tabelle_1,MLF_Art_1,8)*MLF_Kf_TS1</f>
        <v>#VALUE!</v>
      </c>
      <c r="R21" s="344" t="e">
        <f>($G21*GR_NFC+$J21*INDEX(Tabelle_1,MLF_AF_Art1,12)*$J$19+$L21*INDEX(Tabelle_1,MLF_Art_1,12)*MLF_Kf_TS1)/$F21</f>
        <v>#VALUE!</v>
      </c>
      <c r="S21" s="188" t="e">
        <f t="shared" ref="S21:S49" si="6">($G21*GR_pabXS_XZ+$J21*INDEX(Tabelle_1,MLF_AF_Art1,16)*AF_TS1+$L21*INDEX(Tabelle_1,MLF_Art_1,16)*MLF_Kf_TS1)/$F21</f>
        <v>#VALUE!</v>
      </c>
      <c r="T21" s="187" t="e">
        <f t="shared" ref="T21:T49" si="7">($G21*GR_aNDFomGF)/$F21</f>
        <v>#VALUE!</v>
      </c>
      <c r="U21" s="189" t="e">
        <f>($G21*GR_NDF+$J21*INDEX(Tabelle,MLF_AF_Art1,11)*$J$19+$L21*INDEX(Tabelle,MLF_Art_1,11)*MLF_Kf_TS1)/$F21</f>
        <v>#VALUE!</v>
      </c>
      <c r="V21" s="190"/>
      <c r="W21" s="194" t="e">
        <f t="shared" ref="W21:W49" si="8">($G21*GR_Ca+$J21*INDEX(Tabelle,MLF_AF_Art1,22)*$J$19+$L21*INDEX(Tabelle,MLF_Art_1,22)*MLF_Kf_TS1)/$F21</f>
        <v>#VALUE!</v>
      </c>
      <c r="X21" s="194" t="e">
        <f t="shared" ref="X21:X49" si="9">($G21*GR_P+$J21*INDEX(Tabelle,MLF_AF_Art1,23)*$J$19+$L21*INDEX(Tabelle,MLF_Art_1,23)*MLF_Kf_TS1)/$F21</f>
        <v>#VALUE!</v>
      </c>
      <c r="Y21" s="194" t="e">
        <f t="shared" ref="Y21:Y49" si="10">($G21*GR_Na+$J21*INDEX(Tabelle,MLF_AF_Art1,24)*$J$19+$L21*INDEX(Tabelle,MLF_Art_1,24)*MLF_Kf_TS1)/$F21</f>
        <v>#VALUE!</v>
      </c>
      <c r="Z21" s="194" t="e">
        <f t="shared" ref="Z21:Z49" si="11">($G21*GR_Mg+$J21*INDEX(Tabelle,MLF_AF_Art1,25)*$J$19+$L21*INDEX(Tabelle,MLF_Art_1,25)*MLF_Kf_TS1)/$F21</f>
        <v>#VALUE!</v>
      </c>
      <c r="AA21" s="194" t="e">
        <f t="shared" ref="AA21:AA49" si="12">($G21*GR_K+$J21*INDEX(Tabelle,MLF_AF_Art1,26)*$J$19+$L21*INDEX(Tabelle,MLF_Art_1,26)*MLF_Kf_TS1)/$F21</f>
        <v>#VALUE!</v>
      </c>
      <c r="AB21" s="341" t="e">
        <f t="shared" ref="AB21:AB49" si="13">($G21*GR_Se+$J21*INDEX(Tabelle,MLF_AF_Art1,27)*$J$19+$L21*INDEX(Tabelle,MLF_Art_1,27)*MLF_Kf_TS1)/$F21</f>
        <v>#VALUE!</v>
      </c>
      <c r="AC21" s="253" t="e">
        <f>G21*MLF_GF_NEL1+J21*MLF_AF_NEL1*MLF_AF_TS1+L21*MLF_KF_NEL1*MLF_Kf_TS1-B21*3.28-MLF_LM1^0.75*0.293</f>
        <v>#VALUE!</v>
      </c>
      <c r="AD21" s="175" t="e">
        <f>IF(AC21&gt;0,AC21/25.5*1000,AC21/21*1000)</f>
        <v>#VALUE!</v>
      </c>
      <c r="AE21" s="188" t="e">
        <f t="shared" ref="AE21:AE49" si="14">G21*Kosten_TM+J21*INDEX(Tabelle,MLF_AF_Art1,29)/100+L21*INDEX(Tabelle,MLF_Art_1,29)/100</f>
        <v>#VALUE!</v>
      </c>
      <c r="AF21" s="148" t="e">
        <f>N21/0.88/(A21*(J$12*0.38+J$14*0.21+1.05)/3.28)*1000</f>
        <v>#DIV/0!</v>
      </c>
      <c r="AG21" s="56"/>
      <c r="AI21" s="55"/>
    </row>
    <row r="22" spans="1:39" ht="16.5" customHeight="1" x14ac:dyDescent="0.25">
      <c r="A22" s="153">
        <f>A21+1</f>
        <v>17</v>
      </c>
      <c r="B22" s="151">
        <f t="shared" si="0"/>
        <v>17.020731707317072</v>
      </c>
      <c r="C22" s="256">
        <f>AVERAGE(C21,C23)</f>
        <v>294</v>
      </c>
      <c r="D22" s="256">
        <f t="shared" si="1"/>
        <v>0</v>
      </c>
      <c r="E22" s="256" t="e">
        <f t="shared" ref="E22:E49" si="15">IF(IF(MLF_KFmax1/MLF_Kf_TS1*$F22&lt;((($B22*3.28+MLF_LM1^0.75*0.293)/$F22)-MLF_GF_NEL1)/(MLF_KF_NEL1-MLF_GF_NEL1)*$F22/MLF_Kf_TS1,MLF_KFmax1/MLF_Kf_TS1*$F22,IF(((($B22*3.28+MLF_LM1^0.75*0.293)/$F22)-MLF_GF_NEL1)/(MLF_KF_NEL1-MLF_GF_NEL1)*$F22/MLF_Kf_TS1&lt;0,0,((($B22*3.28+MLF_LM1^0.75*0.293)/$F22)-MLF_GF_NEL1)/(MLF_KF_NEL1-MLF_GF_NEL1)*$F22/MLF_Kf_TS1))&lt;MLF_KFmin1/1000,MLF_KFmin1/1000,IF(MLF_KFmax1/MLF_Kf_TS1*$F22&lt;((($B22*3.28+MLF_LM1^0.75*0.293)/$F22)-MLF_GF_NEL1)/(MLF_KF_NEL1-MLF_GF_NEL1)*$F22/MLF_Kf_TS1,MLF_KFmax1/MLF_Kf_TS1*$F22,IF(((($B22*3.28+MLF_LM1^0.75*0.293)/$F22)-MLF_GF_NEL1)/(MLF_KF_NEL1-MLF_GF_NEL1)*$F22/MLF_Kf_TS1&lt;0,0,((($B22*3.28+MLF_LM1^0.75*0.293)/$F22)-MLF_GF_NEL1)/(MLF_KF_NEL1-MLF_GF_NEL1)*$F22/MLF_Kf_TS1)))</f>
        <v>#DIV/0!</v>
      </c>
      <c r="F22" s="60" t="e">
        <f t="shared" ref="F22:F49" si="16">IF(OR(MLF_LakNr1="",C22="",MLF_LM1="",MLF_Rasse1="",MLF_Fett1="",MLF_Prot1=""),"",(3.878+IF(MLF_Rasse1="HF",-2.19,IF(MLF_Rasse1="FV",-2.631,-1.826))+IF(MLF_LakNr1=1,-0.728,0.218)+(-4.287+4.153*(1-EXP(-0.01486*C22)))+MLF_LM1*(0.0148-0.0000474*C22+0.0000000904*C22^2)+B22*(0.0825+0.0008098*C22-0.000000966*C22^2)+D22*(0.6962-0.0023289*C22+0.0000040634*C22^2)+0.858*MLF_GF_NEL1)*0.93+0.47)*MLF_ITkorr1</f>
        <v>#VALUE!</v>
      </c>
      <c r="G22" s="60" t="e">
        <f t="shared" ref="G22:G49" si="17">(F22-MLF_Kf_TS1*E22)</f>
        <v>#VALUE!</v>
      </c>
      <c r="H22" s="60" t="e">
        <f t="shared" ref="H22:H49" si="18">F22-N22</f>
        <v>#VALUE!</v>
      </c>
      <c r="I22" s="60" t="e">
        <f t="shared" ref="I22:I49" si="19">((TM_Grundration-TM_GF)/TM_Grundration)*G22</f>
        <v>#DIV/0!</v>
      </c>
      <c r="J22" s="60">
        <f t="shared" ref="J22:J49" si="20">IF(A22&lt;MLF_AF_Milch1,0,MLF_AF_max1)</f>
        <v>0</v>
      </c>
      <c r="K22" s="59">
        <f t="shared" ref="K22:K49" si="21">SR22</f>
        <v>0</v>
      </c>
      <c r="L22" s="184" t="e">
        <f t="shared" ref="L22:L49" si="22">IF(($E22*MLF_Kf_TS1*MLF_KF_NEL1-$J22*MLF_AF_NEL1*MLF_AF_TS1)/(MLF_KF_NEL1*MLF_Kf_TS1)&lt;0,0,($E22*MLF_Kf_TS1*MLF_KF_NEL1-$J22*MLF_AF_NEL1*MLF_AF_TS1)/(MLF_KF_NEL1*MLF_Kf_TS1))</f>
        <v>#DIV/0!</v>
      </c>
      <c r="M22" s="54" t="e">
        <f t="shared" ref="M22:M49" si="23">S22</f>
        <v>#VALUE!</v>
      </c>
      <c r="N22" s="186" t="e">
        <f t="shared" si="2"/>
        <v>#DIV/0!</v>
      </c>
      <c r="O22" s="186" t="e">
        <f t="shared" si="3"/>
        <v>#VALUE!</v>
      </c>
      <c r="P22" s="191" t="e">
        <f t="shared" si="4"/>
        <v>#VALUE!</v>
      </c>
      <c r="Q22" s="150" t="e">
        <f t="shared" si="5"/>
        <v>#VALUE!</v>
      </c>
      <c r="R22" s="191" t="e">
        <f t="shared" ref="R22:R49" si="24">($G22*GR_NFC+$J22*INDEX(Tabelle_1,MLF_AF_Art1,12)*$J$19+$L22*INDEX(Tabelle_1,MLF_Art_1,12)*MLF_Kf_TS1)/$F22</f>
        <v>#VALUE!</v>
      </c>
      <c r="S22" s="192" t="e">
        <f t="shared" si="6"/>
        <v>#VALUE!</v>
      </c>
      <c r="T22" s="191" t="e">
        <f t="shared" si="7"/>
        <v>#VALUE!</v>
      </c>
      <c r="U22" s="193" t="e">
        <f t="shared" ref="U22:U49" si="25">($G22*GR_NDF+$J22*INDEX(Tabelle,MLF_AF_Art1,11)*$J$19+$L22*INDEX(Tabelle,MLF_Art_1,11)*MLF_Kf_TS1)/$F22</f>
        <v>#VALUE!</v>
      </c>
      <c r="V22" s="54"/>
      <c r="W22" s="195" t="e">
        <f t="shared" si="8"/>
        <v>#VALUE!</v>
      </c>
      <c r="X22" s="195" t="e">
        <f t="shared" si="9"/>
        <v>#VALUE!</v>
      </c>
      <c r="Y22" s="195" t="e">
        <f t="shared" si="10"/>
        <v>#VALUE!</v>
      </c>
      <c r="Z22" s="195" t="e">
        <f t="shared" si="11"/>
        <v>#VALUE!</v>
      </c>
      <c r="AA22" s="195" t="e">
        <f t="shared" si="12"/>
        <v>#VALUE!</v>
      </c>
      <c r="AB22" s="195" t="e">
        <f t="shared" si="13"/>
        <v>#VALUE!</v>
      </c>
      <c r="AC22" s="254" t="e">
        <f t="shared" ref="AC22:AC49" si="26">G22*MLF_GF_NEL1+J22*MLF_AF_NEL1*MLF_AF_TS1+L22*MLF_KF_NEL1*MLF_Kf_TS1-B22*3.28-MLF_LM1^0.75*0.293</f>
        <v>#VALUE!</v>
      </c>
      <c r="AD22" s="176" t="e">
        <f t="shared" ref="AD22:AD49" si="27">IF(AC22&gt;0,AC22/25.5*1000,AC22/21*1000)</f>
        <v>#VALUE!</v>
      </c>
      <c r="AE22" s="192" t="e">
        <f t="shared" si="14"/>
        <v>#VALUE!</v>
      </c>
      <c r="AF22" s="148" t="e">
        <f t="shared" ref="AF22:AF49" si="28">N22/0.88/(A22*(J$12*0.38+J$14*0.21+1.05)/3.28)*1000</f>
        <v>#DIV/0!</v>
      </c>
      <c r="AG22" s="56"/>
      <c r="AJ22" s="184"/>
      <c r="AK22" s="184"/>
      <c r="AL22" s="184"/>
      <c r="AM22" s="184"/>
    </row>
    <row r="23" spans="1:39" ht="16.5" customHeight="1" x14ac:dyDescent="0.25">
      <c r="A23" s="153">
        <f t="shared" ref="A23:A49" si="29">A22+1</f>
        <v>18</v>
      </c>
      <c r="B23" s="151">
        <f t="shared" si="0"/>
        <v>18.021951219512193</v>
      </c>
      <c r="C23" s="256">
        <f>IF(MLF_LakTag1=7000,252,IF(MLF_LakTag1=9000,287,336))</f>
        <v>287</v>
      </c>
      <c r="D23" s="256">
        <f t="shared" si="1"/>
        <v>0</v>
      </c>
      <c r="E23" s="256" t="e">
        <f t="shared" si="15"/>
        <v>#DIV/0!</v>
      </c>
      <c r="F23" s="60" t="e">
        <f t="shared" si="16"/>
        <v>#VALUE!</v>
      </c>
      <c r="G23" s="60" t="e">
        <f t="shared" si="17"/>
        <v>#VALUE!</v>
      </c>
      <c r="H23" s="60" t="e">
        <f t="shared" si="18"/>
        <v>#VALUE!</v>
      </c>
      <c r="I23" s="60" t="e">
        <f t="shared" si="19"/>
        <v>#DIV/0!</v>
      </c>
      <c r="J23" s="60">
        <f t="shared" si="20"/>
        <v>0</v>
      </c>
      <c r="K23" s="59">
        <f t="shared" si="21"/>
        <v>0</v>
      </c>
      <c r="L23" s="184" t="e">
        <f t="shared" si="22"/>
        <v>#DIV/0!</v>
      </c>
      <c r="M23" s="54" t="e">
        <f t="shared" si="23"/>
        <v>#VALUE!</v>
      </c>
      <c r="N23" s="186" t="e">
        <f t="shared" si="2"/>
        <v>#DIV/0!</v>
      </c>
      <c r="O23" s="186" t="e">
        <f t="shared" si="3"/>
        <v>#VALUE!</v>
      </c>
      <c r="P23" s="191" t="e">
        <f t="shared" si="4"/>
        <v>#VALUE!</v>
      </c>
      <c r="Q23" s="150" t="e">
        <f t="shared" si="5"/>
        <v>#VALUE!</v>
      </c>
      <c r="R23" s="191" t="e">
        <f t="shared" si="24"/>
        <v>#VALUE!</v>
      </c>
      <c r="S23" s="192" t="e">
        <f t="shared" si="6"/>
        <v>#VALUE!</v>
      </c>
      <c r="T23" s="191" t="e">
        <f t="shared" si="7"/>
        <v>#VALUE!</v>
      </c>
      <c r="U23" s="193" t="e">
        <f t="shared" si="25"/>
        <v>#VALUE!</v>
      </c>
      <c r="V23" s="54"/>
      <c r="W23" s="195" t="e">
        <f t="shared" si="8"/>
        <v>#VALUE!</v>
      </c>
      <c r="X23" s="195" t="e">
        <f t="shared" si="9"/>
        <v>#VALUE!</v>
      </c>
      <c r="Y23" s="195" t="e">
        <f t="shared" si="10"/>
        <v>#VALUE!</v>
      </c>
      <c r="Z23" s="195" t="e">
        <f t="shared" si="11"/>
        <v>#VALUE!</v>
      </c>
      <c r="AA23" s="195" t="e">
        <f t="shared" si="12"/>
        <v>#VALUE!</v>
      </c>
      <c r="AB23" s="195" t="e">
        <f t="shared" si="13"/>
        <v>#VALUE!</v>
      </c>
      <c r="AC23" s="254" t="e">
        <f t="shared" si="26"/>
        <v>#VALUE!</v>
      </c>
      <c r="AD23" s="176" t="e">
        <f t="shared" si="27"/>
        <v>#VALUE!</v>
      </c>
      <c r="AE23" s="192" t="e">
        <f t="shared" si="14"/>
        <v>#VALUE!</v>
      </c>
      <c r="AF23" s="148" t="e">
        <f t="shared" si="28"/>
        <v>#DIV/0!</v>
      </c>
      <c r="AG23" s="56"/>
      <c r="AJ23" s="184"/>
      <c r="AK23" s="184"/>
      <c r="AL23" s="184"/>
      <c r="AM23" s="184"/>
    </row>
    <row r="24" spans="1:39" ht="16.5" customHeight="1" x14ac:dyDescent="0.25">
      <c r="A24" s="153">
        <f t="shared" si="29"/>
        <v>19</v>
      </c>
      <c r="B24" s="151">
        <f t="shared" si="0"/>
        <v>19.023170731707317</v>
      </c>
      <c r="C24" s="256">
        <f>AVERAGE(C23,C25)</f>
        <v>280</v>
      </c>
      <c r="D24" s="256">
        <f>MAX(IF(MLF_LakTag1=7000,0.00000240679*B24^5-0.00034272276*B24^4+0.01751018612*B24^3-0.38414129327*B24^2+3.70025873859*B24-12.83588,IF(MLF_LakTag1=9000,0.00000227834*B24^5-0.00033174803*B24^4+0.01734743992*B24^3-0.38912715564*B24^2+3.8067140359*B24-13.1978,IF(MLF_LakTag1=11000,0.00000354922*B24^5-0.00053511787*B24^4+0.02970736291*B24^3-0.74031250256*B24^2+8.39997601052*B24-35.30319754533))),J24)</f>
        <v>5.3034443053078917E-2</v>
      </c>
      <c r="E24" s="256" t="e">
        <f t="shared" si="15"/>
        <v>#DIV/0!</v>
      </c>
      <c r="F24" s="60" t="e">
        <f t="shared" si="16"/>
        <v>#VALUE!</v>
      </c>
      <c r="G24" s="60" t="e">
        <f t="shared" si="17"/>
        <v>#VALUE!</v>
      </c>
      <c r="H24" s="60" t="e">
        <f t="shared" si="18"/>
        <v>#VALUE!</v>
      </c>
      <c r="I24" s="60" t="e">
        <f t="shared" si="19"/>
        <v>#DIV/0!</v>
      </c>
      <c r="J24" s="60">
        <f t="shared" si="20"/>
        <v>0</v>
      </c>
      <c r="K24" s="59">
        <f t="shared" si="21"/>
        <v>0</v>
      </c>
      <c r="L24" s="184" t="e">
        <f t="shared" si="22"/>
        <v>#DIV/0!</v>
      </c>
      <c r="M24" s="54" t="e">
        <f t="shared" si="23"/>
        <v>#VALUE!</v>
      </c>
      <c r="N24" s="186" t="e">
        <f t="shared" si="2"/>
        <v>#DIV/0!</v>
      </c>
      <c r="O24" s="186" t="e">
        <f t="shared" si="3"/>
        <v>#VALUE!</v>
      </c>
      <c r="P24" s="191" t="e">
        <f t="shared" si="4"/>
        <v>#VALUE!</v>
      </c>
      <c r="Q24" s="150" t="e">
        <f t="shared" si="5"/>
        <v>#VALUE!</v>
      </c>
      <c r="R24" s="191" t="e">
        <f t="shared" si="24"/>
        <v>#VALUE!</v>
      </c>
      <c r="S24" s="192" t="e">
        <f t="shared" si="6"/>
        <v>#VALUE!</v>
      </c>
      <c r="T24" s="191" t="e">
        <f t="shared" si="7"/>
        <v>#VALUE!</v>
      </c>
      <c r="U24" s="193" t="e">
        <f t="shared" si="25"/>
        <v>#VALUE!</v>
      </c>
      <c r="V24" s="54"/>
      <c r="W24" s="195" t="e">
        <f t="shared" si="8"/>
        <v>#VALUE!</v>
      </c>
      <c r="X24" s="195" t="e">
        <f t="shared" si="9"/>
        <v>#VALUE!</v>
      </c>
      <c r="Y24" s="195" t="e">
        <f t="shared" si="10"/>
        <v>#VALUE!</v>
      </c>
      <c r="Z24" s="195" t="e">
        <f t="shared" si="11"/>
        <v>#VALUE!</v>
      </c>
      <c r="AA24" s="195" t="e">
        <f t="shared" si="12"/>
        <v>#VALUE!</v>
      </c>
      <c r="AB24" s="195" t="e">
        <f t="shared" si="13"/>
        <v>#VALUE!</v>
      </c>
      <c r="AC24" s="254" t="e">
        <f t="shared" si="26"/>
        <v>#VALUE!</v>
      </c>
      <c r="AD24" s="176" t="e">
        <f t="shared" si="27"/>
        <v>#VALUE!</v>
      </c>
      <c r="AE24" s="192" t="e">
        <f t="shared" si="14"/>
        <v>#VALUE!</v>
      </c>
      <c r="AF24" s="148" t="e">
        <f t="shared" si="28"/>
        <v>#DIV/0!</v>
      </c>
      <c r="AG24" s="56"/>
      <c r="AJ24" s="184"/>
      <c r="AK24" s="184"/>
      <c r="AL24" s="184"/>
      <c r="AM24" s="184"/>
    </row>
    <row r="25" spans="1:39" ht="16.5" customHeight="1" x14ac:dyDescent="0.25">
      <c r="A25" s="205">
        <f t="shared" si="29"/>
        <v>20</v>
      </c>
      <c r="B25" s="206">
        <f t="shared" si="0"/>
        <v>20.024390243902438</v>
      </c>
      <c r="C25" s="256">
        <f>IF(MLF_LakTag1=7000,231,IF(MLF_LakTag1=9000,273,336))</f>
        <v>273</v>
      </c>
      <c r="D25" s="256">
        <f>MAX(IF(MLF_LakTag1=7000,0.00000240679*B25^5-0.00034272276*B25^4+0.01751018612*B25^3-0.38414129327*B25^2+3.70025873859*B25-12.83588,IF(MLF_LakTag1=9000,0.00000227834*B25^5-0.00033174803*B25^4+0.01734743992*B25^3-0.38912715564*B25^2+3.8067140359*B25-13.1978,IF(MLF_LakTag1=11000,0.00000354922*B25^5-0.00053511787*B25^4+0.02970736291*B25^3-0.74031250256*B25^2+8.39997601052*B25-35.30319754533))),J25)</f>
        <v>0.28263400837964525</v>
      </c>
      <c r="E25" s="256" t="e">
        <f t="shared" si="15"/>
        <v>#DIV/0!</v>
      </c>
      <c r="F25" s="207" t="e">
        <f t="shared" si="16"/>
        <v>#VALUE!</v>
      </c>
      <c r="G25" s="207" t="e">
        <f t="shared" si="17"/>
        <v>#VALUE!</v>
      </c>
      <c r="H25" s="207" t="e">
        <f t="shared" si="18"/>
        <v>#VALUE!</v>
      </c>
      <c r="I25" s="207" t="e">
        <f t="shared" si="19"/>
        <v>#DIV/0!</v>
      </c>
      <c r="J25" s="207">
        <f t="shared" si="20"/>
        <v>0</v>
      </c>
      <c r="K25" s="208">
        <f t="shared" si="21"/>
        <v>0</v>
      </c>
      <c r="L25" s="209" t="e">
        <f t="shared" si="22"/>
        <v>#DIV/0!</v>
      </c>
      <c r="M25" s="210" t="e">
        <f t="shared" si="23"/>
        <v>#VALUE!</v>
      </c>
      <c r="N25" s="211" t="e">
        <f t="shared" si="2"/>
        <v>#DIV/0!</v>
      </c>
      <c r="O25" s="211" t="e">
        <f t="shared" si="3"/>
        <v>#VALUE!</v>
      </c>
      <c r="P25" s="212" t="e">
        <f t="shared" si="4"/>
        <v>#VALUE!</v>
      </c>
      <c r="Q25" s="213" t="e">
        <f t="shared" si="5"/>
        <v>#VALUE!</v>
      </c>
      <c r="R25" s="212" t="e">
        <f t="shared" si="24"/>
        <v>#VALUE!</v>
      </c>
      <c r="S25" s="214" t="e">
        <f t="shared" si="6"/>
        <v>#VALUE!</v>
      </c>
      <c r="T25" s="212" t="e">
        <f t="shared" si="7"/>
        <v>#VALUE!</v>
      </c>
      <c r="U25" s="215" t="e">
        <f t="shared" si="25"/>
        <v>#VALUE!</v>
      </c>
      <c r="V25" s="210"/>
      <c r="W25" s="216" t="e">
        <f t="shared" si="8"/>
        <v>#VALUE!</v>
      </c>
      <c r="X25" s="216" t="e">
        <f t="shared" si="9"/>
        <v>#VALUE!</v>
      </c>
      <c r="Y25" s="216" t="e">
        <f t="shared" si="10"/>
        <v>#VALUE!</v>
      </c>
      <c r="Z25" s="216" t="e">
        <f t="shared" si="11"/>
        <v>#VALUE!</v>
      </c>
      <c r="AA25" s="216" t="e">
        <f t="shared" si="12"/>
        <v>#VALUE!</v>
      </c>
      <c r="AB25" s="216" t="e">
        <f t="shared" si="13"/>
        <v>#VALUE!</v>
      </c>
      <c r="AC25" s="255" t="e">
        <f t="shared" si="26"/>
        <v>#VALUE!</v>
      </c>
      <c r="AD25" s="217" t="e">
        <f t="shared" si="27"/>
        <v>#VALUE!</v>
      </c>
      <c r="AE25" s="192" t="e">
        <f t="shared" si="14"/>
        <v>#VALUE!</v>
      </c>
      <c r="AF25" s="148" t="e">
        <f t="shared" si="28"/>
        <v>#DIV/0!</v>
      </c>
      <c r="AG25" s="57"/>
      <c r="AJ25" s="184"/>
      <c r="AK25" s="184"/>
      <c r="AL25" s="184"/>
      <c r="AM25" s="184"/>
    </row>
    <row r="26" spans="1:39" ht="16.5" customHeight="1" x14ac:dyDescent="0.25">
      <c r="A26" s="153">
        <f t="shared" si="29"/>
        <v>21</v>
      </c>
      <c r="B26" s="151">
        <f t="shared" si="0"/>
        <v>21.025609756097563</v>
      </c>
      <c r="C26" s="256">
        <f>AVERAGE(C25,C27)</f>
        <v>266</v>
      </c>
      <c r="D26" s="256">
        <f t="shared" si="1"/>
        <v>0.58777974471750838</v>
      </c>
      <c r="E26" s="256" t="e">
        <f t="shared" si="15"/>
        <v>#DIV/0!</v>
      </c>
      <c r="F26" s="60" t="e">
        <f t="shared" si="16"/>
        <v>#VALUE!</v>
      </c>
      <c r="G26" s="60" t="e">
        <f t="shared" si="17"/>
        <v>#VALUE!</v>
      </c>
      <c r="H26" s="60" t="e">
        <f t="shared" si="18"/>
        <v>#VALUE!</v>
      </c>
      <c r="I26" s="60" t="e">
        <f t="shared" si="19"/>
        <v>#DIV/0!</v>
      </c>
      <c r="J26" s="60">
        <f t="shared" si="20"/>
        <v>0</v>
      </c>
      <c r="K26" s="59">
        <f t="shared" si="21"/>
        <v>0</v>
      </c>
      <c r="L26" s="184" t="e">
        <f t="shared" si="22"/>
        <v>#DIV/0!</v>
      </c>
      <c r="M26" s="54" t="e">
        <f t="shared" si="23"/>
        <v>#VALUE!</v>
      </c>
      <c r="N26" s="186" t="e">
        <f t="shared" si="2"/>
        <v>#DIV/0!</v>
      </c>
      <c r="O26" s="186" t="e">
        <f t="shared" si="3"/>
        <v>#VALUE!</v>
      </c>
      <c r="P26" s="191" t="e">
        <f t="shared" si="4"/>
        <v>#VALUE!</v>
      </c>
      <c r="Q26" s="150" t="e">
        <f t="shared" si="5"/>
        <v>#VALUE!</v>
      </c>
      <c r="R26" s="191" t="e">
        <f t="shared" si="24"/>
        <v>#VALUE!</v>
      </c>
      <c r="S26" s="192" t="e">
        <f t="shared" si="6"/>
        <v>#VALUE!</v>
      </c>
      <c r="T26" s="191" t="e">
        <f t="shared" si="7"/>
        <v>#VALUE!</v>
      </c>
      <c r="U26" s="193" t="e">
        <f t="shared" si="25"/>
        <v>#VALUE!</v>
      </c>
      <c r="V26" s="54"/>
      <c r="W26" s="195" t="e">
        <f t="shared" si="8"/>
        <v>#VALUE!</v>
      </c>
      <c r="X26" s="195" t="e">
        <f t="shared" si="9"/>
        <v>#VALUE!</v>
      </c>
      <c r="Y26" s="195" t="e">
        <f t="shared" si="10"/>
        <v>#VALUE!</v>
      </c>
      <c r="Z26" s="195" t="e">
        <f t="shared" si="11"/>
        <v>#VALUE!</v>
      </c>
      <c r="AA26" s="195" t="e">
        <f t="shared" si="12"/>
        <v>#VALUE!</v>
      </c>
      <c r="AB26" s="195" t="e">
        <f t="shared" si="13"/>
        <v>#VALUE!</v>
      </c>
      <c r="AC26" s="254" t="e">
        <f t="shared" si="26"/>
        <v>#VALUE!</v>
      </c>
      <c r="AD26" s="176" t="e">
        <f t="shared" si="27"/>
        <v>#VALUE!</v>
      </c>
      <c r="AE26" s="192" t="e">
        <f t="shared" si="14"/>
        <v>#VALUE!</v>
      </c>
      <c r="AF26" s="148" t="e">
        <f t="shared" si="28"/>
        <v>#DIV/0!</v>
      </c>
      <c r="AG26" s="56"/>
      <c r="AJ26" s="184"/>
      <c r="AK26" s="184"/>
      <c r="AL26" s="184"/>
      <c r="AM26" s="184"/>
    </row>
    <row r="27" spans="1:39" ht="16.5" customHeight="1" x14ac:dyDescent="0.25">
      <c r="A27" s="153">
        <f t="shared" si="29"/>
        <v>22</v>
      </c>
      <c r="B27" s="151">
        <f t="shared" si="0"/>
        <v>22.02682926829268</v>
      </c>
      <c r="C27" s="256">
        <f>IF(MLF_LakTag1=7000,203,IF(MLF_LakTag1=9000,259,336))</f>
        <v>259</v>
      </c>
      <c r="D27" s="256">
        <f t="shared" si="1"/>
        <v>0.96675374724179619</v>
      </c>
      <c r="E27" s="256" t="e">
        <f t="shared" si="15"/>
        <v>#DIV/0!</v>
      </c>
      <c r="F27" s="60" t="e">
        <f t="shared" si="16"/>
        <v>#VALUE!</v>
      </c>
      <c r="G27" s="60" t="e">
        <f t="shared" si="17"/>
        <v>#VALUE!</v>
      </c>
      <c r="H27" s="60" t="e">
        <f t="shared" si="18"/>
        <v>#VALUE!</v>
      </c>
      <c r="I27" s="60" t="e">
        <f t="shared" si="19"/>
        <v>#DIV/0!</v>
      </c>
      <c r="J27" s="60">
        <f t="shared" si="20"/>
        <v>0</v>
      </c>
      <c r="K27" s="59">
        <f t="shared" si="21"/>
        <v>0</v>
      </c>
      <c r="L27" s="184" t="e">
        <f t="shared" si="22"/>
        <v>#DIV/0!</v>
      </c>
      <c r="M27" s="54" t="e">
        <f t="shared" si="23"/>
        <v>#VALUE!</v>
      </c>
      <c r="N27" s="186" t="e">
        <f t="shared" si="2"/>
        <v>#DIV/0!</v>
      </c>
      <c r="O27" s="186" t="e">
        <f t="shared" si="3"/>
        <v>#VALUE!</v>
      </c>
      <c r="P27" s="191" t="e">
        <f t="shared" si="4"/>
        <v>#VALUE!</v>
      </c>
      <c r="Q27" s="150" t="e">
        <f t="shared" si="5"/>
        <v>#VALUE!</v>
      </c>
      <c r="R27" s="191" t="e">
        <f t="shared" si="24"/>
        <v>#VALUE!</v>
      </c>
      <c r="S27" s="192" t="e">
        <f t="shared" si="6"/>
        <v>#VALUE!</v>
      </c>
      <c r="T27" s="191" t="e">
        <f t="shared" si="7"/>
        <v>#VALUE!</v>
      </c>
      <c r="U27" s="193" t="e">
        <f t="shared" si="25"/>
        <v>#VALUE!</v>
      </c>
      <c r="V27" s="54"/>
      <c r="W27" s="195" t="e">
        <f t="shared" si="8"/>
        <v>#VALUE!</v>
      </c>
      <c r="X27" s="195" t="e">
        <f t="shared" si="9"/>
        <v>#VALUE!</v>
      </c>
      <c r="Y27" s="195" t="e">
        <f t="shared" si="10"/>
        <v>#VALUE!</v>
      </c>
      <c r="Z27" s="195" t="e">
        <f t="shared" si="11"/>
        <v>#VALUE!</v>
      </c>
      <c r="AA27" s="195" t="e">
        <f t="shared" si="12"/>
        <v>#VALUE!</v>
      </c>
      <c r="AB27" s="195" t="e">
        <f t="shared" si="13"/>
        <v>#VALUE!</v>
      </c>
      <c r="AC27" s="254" t="e">
        <f t="shared" si="26"/>
        <v>#VALUE!</v>
      </c>
      <c r="AD27" s="176" t="e">
        <f t="shared" si="27"/>
        <v>#VALUE!</v>
      </c>
      <c r="AE27" s="192" t="e">
        <f t="shared" si="14"/>
        <v>#VALUE!</v>
      </c>
      <c r="AF27" s="148" t="e">
        <f t="shared" si="28"/>
        <v>#DIV/0!</v>
      </c>
      <c r="AG27" s="56"/>
      <c r="AJ27" s="184"/>
      <c r="AK27" s="184"/>
      <c r="AL27" s="184"/>
      <c r="AM27" s="184"/>
    </row>
    <row r="28" spans="1:39" ht="16.5" customHeight="1" x14ac:dyDescent="0.25">
      <c r="A28" s="153">
        <f t="shared" si="29"/>
        <v>23</v>
      </c>
      <c r="B28" s="151">
        <f t="shared" si="0"/>
        <v>23.028048780487804</v>
      </c>
      <c r="C28" s="256">
        <f>AVERAGE(C27,C29)</f>
        <v>248.5</v>
      </c>
      <c r="D28" s="256">
        <f t="shared" si="1"/>
        <v>1.4156137594395091</v>
      </c>
      <c r="E28" s="256" t="e">
        <f t="shared" si="15"/>
        <v>#DIV/0!</v>
      </c>
      <c r="F28" s="60" t="e">
        <f t="shared" si="16"/>
        <v>#VALUE!</v>
      </c>
      <c r="G28" s="60" t="e">
        <f t="shared" si="17"/>
        <v>#VALUE!</v>
      </c>
      <c r="H28" s="60" t="e">
        <f t="shared" si="18"/>
        <v>#VALUE!</v>
      </c>
      <c r="I28" s="60" t="e">
        <f t="shared" si="19"/>
        <v>#DIV/0!</v>
      </c>
      <c r="J28" s="60">
        <f t="shared" si="20"/>
        <v>0</v>
      </c>
      <c r="K28" s="59">
        <f t="shared" si="21"/>
        <v>0</v>
      </c>
      <c r="L28" s="184" t="e">
        <f t="shared" si="22"/>
        <v>#DIV/0!</v>
      </c>
      <c r="M28" s="54" t="e">
        <f t="shared" si="23"/>
        <v>#VALUE!</v>
      </c>
      <c r="N28" s="186" t="e">
        <f t="shared" si="2"/>
        <v>#DIV/0!</v>
      </c>
      <c r="O28" s="186" t="e">
        <f t="shared" si="3"/>
        <v>#VALUE!</v>
      </c>
      <c r="P28" s="191" t="e">
        <f t="shared" si="4"/>
        <v>#VALUE!</v>
      </c>
      <c r="Q28" s="150" t="e">
        <f t="shared" si="5"/>
        <v>#VALUE!</v>
      </c>
      <c r="R28" s="191" t="e">
        <f t="shared" si="24"/>
        <v>#VALUE!</v>
      </c>
      <c r="S28" s="192" t="e">
        <f t="shared" si="6"/>
        <v>#VALUE!</v>
      </c>
      <c r="T28" s="191" t="e">
        <f t="shared" si="7"/>
        <v>#VALUE!</v>
      </c>
      <c r="U28" s="193" t="e">
        <f t="shared" si="25"/>
        <v>#VALUE!</v>
      </c>
      <c r="V28" s="54"/>
      <c r="W28" s="195" t="e">
        <f t="shared" si="8"/>
        <v>#VALUE!</v>
      </c>
      <c r="X28" s="195" t="e">
        <f t="shared" si="9"/>
        <v>#VALUE!</v>
      </c>
      <c r="Y28" s="195" t="e">
        <f t="shared" si="10"/>
        <v>#VALUE!</v>
      </c>
      <c r="Z28" s="195" t="e">
        <f t="shared" si="11"/>
        <v>#VALUE!</v>
      </c>
      <c r="AA28" s="195" t="e">
        <f t="shared" si="12"/>
        <v>#VALUE!</v>
      </c>
      <c r="AB28" s="195" t="e">
        <f t="shared" si="13"/>
        <v>#VALUE!</v>
      </c>
      <c r="AC28" s="254" t="e">
        <f t="shared" si="26"/>
        <v>#VALUE!</v>
      </c>
      <c r="AD28" s="176" t="e">
        <f t="shared" si="27"/>
        <v>#VALUE!</v>
      </c>
      <c r="AE28" s="192" t="e">
        <f t="shared" si="14"/>
        <v>#VALUE!</v>
      </c>
      <c r="AF28" s="148" t="e">
        <f t="shared" si="28"/>
        <v>#DIV/0!</v>
      </c>
      <c r="AG28" s="56"/>
      <c r="AJ28" s="184"/>
      <c r="AK28" s="184"/>
      <c r="AL28" s="184"/>
      <c r="AM28" s="184"/>
    </row>
    <row r="29" spans="1:39" ht="16.5" customHeight="1" x14ac:dyDescent="0.25">
      <c r="A29" s="153">
        <f t="shared" si="29"/>
        <v>24</v>
      </c>
      <c r="B29" s="151">
        <f t="shared" si="0"/>
        <v>24.029268292682929</v>
      </c>
      <c r="C29" s="256">
        <f>IF(MLF_LakTag1=7000,175,IF(MLF_LakTag1=9000,238,336))</f>
        <v>238</v>
      </c>
      <c r="D29" s="256">
        <f t="shared" si="1"/>
        <v>1.9284682450588804</v>
      </c>
      <c r="E29" s="256" t="e">
        <f t="shared" si="15"/>
        <v>#DIV/0!</v>
      </c>
      <c r="F29" s="60" t="e">
        <f t="shared" si="16"/>
        <v>#VALUE!</v>
      </c>
      <c r="G29" s="60" t="e">
        <f t="shared" si="17"/>
        <v>#VALUE!</v>
      </c>
      <c r="H29" s="60" t="e">
        <f t="shared" si="18"/>
        <v>#VALUE!</v>
      </c>
      <c r="I29" s="60" t="e">
        <f t="shared" si="19"/>
        <v>#DIV/0!</v>
      </c>
      <c r="J29" s="60">
        <f t="shared" si="20"/>
        <v>0</v>
      </c>
      <c r="K29" s="59">
        <f t="shared" si="21"/>
        <v>0</v>
      </c>
      <c r="L29" s="184" t="e">
        <f t="shared" si="22"/>
        <v>#DIV/0!</v>
      </c>
      <c r="M29" s="54" t="e">
        <f t="shared" si="23"/>
        <v>#VALUE!</v>
      </c>
      <c r="N29" s="186" t="e">
        <f t="shared" si="2"/>
        <v>#DIV/0!</v>
      </c>
      <c r="O29" s="186" t="e">
        <f t="shared" si="3"/>
        <v>#VALUE!</v>
      </c>
      <c r="P29" s="191" t="e">
        <f t="shared" si="4"/>
        <v>#VALUE!</v>
      </c>
      <c r="Q29" s="150" t="e">
        <f t="shared" si="5"/>
        <v>#VALUE!</v>
      </c>
      <c r="R29" s="191" t="e">
        <f t="shared" si="24"/>
        <v>#VALUE!</v>
      </c>
      <c r="S29" s="192" t="e">
        <f t="shared" si="6"/>
        <v>#VALUE!</v>
      </c>
      <c r="T29" s="191" t="e">
        <f t="shared" si="7"/>
        <v>#VALUE!</v>
      </c>
      <c r="U29" s="193" t="e">
        <f t="shared" si="25"/>
        <v>#VALUE!</v>
      </c>
      <c r="V29" s="54"/>
      <c r="W29" s="195" t="e">
        <f t="shared" si="8"/>
        <v>#VALUE!</v>
      </c>
      <c r="X29" s="195" t="e">
        <f t="shared" si="9"/>
        <v>#VALUE!</v>
      </c>
      <c r="Y29" s="195" t="e">
        <f t="shared" si="10"/>
        <v>#VALUE!</v>
      </c>
      <c r="Z29" s="195" t="e">
        <f t="shared" si="11"/>
        <v>#VALUE!</v>
      </c>
      <c r="AA29" s="195" t="e">
        <f t="shared" si="12"/>
        <v>#VALUE!</v>
      </c>
      <c r="AB29" s="195" t="e">
        <f t="shared" si="13"/>
        <v>#VALUE!</v>
      </c>
      <c r="AC29" s="254" t="e">
        <f t="shared" si="26"/>
        <v>#VALUE!</v>
      </c>
      <c r="AD29" s="176" t="e">
        <f t="shared" si="27"/>
        <v>#VALUE!</v>
      </c>
      <c r="AE29" s="192" t="e">
        <f t="shared" si="14"/>
        <v>#VALUE!</v>
      </c>
      <c r="AF29" s="148" t="e">
        <f t="shared" si="28"/>
        <v>#DIV/0!</v>
      </c>
      <c r="AG29" s="56"/>
      <c r="AJ29" s="184"/>
      <c r="AK29" s="184"/>
      <c r="AL29" s="184"/>
      <c r="AM29" s="184"/>
    </row>
    <row r="30" spans="1:39" ht="16.5" customHeight="1" x14ac:dyDescent="0.25">
      <c r="A30" s="205">
        <f t="shared" si="29"/>
        <v>25</v>
      </c>
      <c r="B30" s="206">
        <f t="shared" si="0"/>
        <v>25.030487804878049</v>
      </c>
      <c r="C30" s="256">
        <f>AVERAGE(C29,C31)</f>
        <v>227.5</v>
      </c>
      <c r="D30" s="256">
        <f t="shared" si="1"/>
        <v>2.4977514600581117</v>
      </c>
      <c r="E30" s="256" t="e">
        <f t="shared" si="15"/>
        <v>#DIV/0!</v>
      </c>
      <c r="F30" s="207" t="e">
        <f t="shared" si="16"/>
        <v>#VALUE!</v>
      </c>
      <c r="G30" s="207" t="e">
        <f t="shared" si="17"/>
        <v>#VALUE!</v>
      </c>
      <c r="H30" s="207" t="e">
        <f t="shared" si="18"/>
        <v>#VALUE!</v>
      </c>
      <c r="I30" s="207" t="e">
        <f t="shared" si="19"/>
        <v>#DIV/0!</v>
      </c>
      <c r="J30" s="207">
        <f t="shared" si="20"/>
        <v>0</v>
      </c>
      <c r="K30" s="208">
        <f t="shared" si="21"/>
        <v>0</v>
      </c>
      <c r="L30" s="209" t="e">
        <f t="shared" si="22"/>
        <v>#DIV/0!</v>
      </c>
      <c r="M30" s="210" t="e">
        <f t="shared" si="23"/>
        <v>#VALUE!</v>
      </c>
      <c r="N30" s="211" t="e">
        <f t="shared" si="2"/>
        <v>#DIV/0!</v>
      </c>
      <c r="O30" s="211" t="e">
        <f t="shared" si="3"/>
        <v>#VALUE!</v>
      </c>
      <c r="P30" s="212" t="e">
        <f t="shared" si="4"/>
        <v>#VALUE!</v>
      </c>
      <c r="Q30" s="213" t="e">
        <f t="shared" si="5"/>
        <v>#VALUE!</v>
      </c>
      <c r="R30" s="212" t="e">
        <f t="shared" si="24"/>
        <v>#VALUE!</v>
      </c>
      <c r="S30" s="214" t="e">
        <f t="shared" si="6"/>
        <v>#VALUE!</v>
      </c>
      <c r="T30" s="212" t="e">
        <f t="shared" si="7"/>
        <v>#VALUE!</v>
      </c>
      <c r="U30" s="215" t="e">
        <f t="shared" si="25"/>
        <v>#VALUE!</v>
      </c>
      <c r="V30" s="210"/>
      <c r="W30" s="216" t="e">
        <f t="shared" si="8"/>
        <v>#VALUE!</v>
      </c>
      <c r="X30" s="216" t="e">
        <f t="shared" si="9"/>
        <v>#VALUE!</v>
      </c>
      <c r="Y30" s="216" t="e">
        <f t="shared" si="10"/>
        <v>#VALUE!</v>
      </c>
      <c r="Z30" s="216" t="e">
        <f t="shared" si="11"/>
        <v>#VALUE!</v>
      </c>
      <c r="AA30" s="216" t="e">
        <f t="shared" si="12"/>
        <v>#VALUE!</v>
      </c>
      <c r="AB30" s="216" t="e">
        <f t="shared" si="13"/>
        <v>#VALUE!</v>
      </c>
      <c r="AC30" s="255" t="e">
        <f t="shared" si="26"/>
        <v>#VALUE!</v>
      </c>
      <c r="AD30" s="217" t="e">
        <f t="shared" si="27"/>
        <v>#VALUE!</v>
      </c>
      <c r="AE30" s="192" t="e">
        <f t="shared" si="14"/>
        <v>#VALUE!</v>
      </c>
      <c r="AF30" s="148" t="e">
        <f t="shared" si="28"/>
        <v>#DIV/0!</v>
      </c>
      <c r="AG30" s="57"/>
      <c r="AJ30" s="184"/>
      <c r="AK30" s="184"/>
      <c r="AL30" s="184"/>
      <c r="AM30" s="184"/>
    </row>
    <row r="31" spans="1:39" ht="16.5" customHeight="1" x14ac:dyDescent="0.25">
      <c r="A31" s="153">
        <f t="shared" si="29"/>
        <v>26</v>
      </c>
      <c r="B31" s="151">
        <f t="shared" si="0"/>
        <v>26.031707317073174</v>
      </c>
      <c r="C31" s="256">
        <f>IF(MLF_LakTag1=7000,140,IF(MLF_LakTag1=9000,217,329))</f>
        <v>217</v>
      </c>
      <c r="D31" s="256">
        <f t="shared" si="1"/>
        <v>3.1144985245547758</v>
      </c>
      <c r="E31" s="256" t="e">
        <f t="shared" si="15"/>
        <v>#DIV/0!</v>
      </c>
      <c r="F31" s="60" t="e">
        <f t="shared" si="16"/>
        <v>#VALUE!</v>
      </c>
      <c r="G31" s="60" t="e">
        <f t="shared" si="17"/>
        <v>#VALUE!</v>
      </c>
      <c r="H31" s="60" t="e">
        <f t="shared" si="18"/>
        <v>#VALUE!</v>
      </c>
      <c r="I31" s="60" t="e">
        <f t="shared" si="19"/>
        <v>#DIV/0!</v>
      </c>
      <c r="J31" s="60">
        <f t="shared" si="20"/>
        <v>0</v>
      </c>
      <c r="K31" s="59">
        <f t="shared" si="21"/>
        <v>0</v>
      </c>
      <c r="L31" s="184" t="e">
        <f t="shared" si="22"/>
        <v>#DIV/0!</v>
      </c>
      <c r="M31" s="54" t="e">
        <f t="shared" si="23"/>
        <v>#VALUE!</v>
      </c>
      <c r="N31" s="186" t="e">
        <f t="shared" si="2"/>
        <v>#DIV/0!</v>
      </c>
      <c r="O31" s="186" t="e">
        <f t="shared" si="3"/>
        <v>#VALUE!</v>
      </c>
      <c r="P31" s="191" t="e">
        <f t="shared" si="4"/>
        <v>#VALUE!</v>
      </c>
      <c r="Q31" s="150" t="e">
        <f t="shared" si="5"/>
        <v>#VALUE!</v>
      </c>
      <c r="R31" s="191" t="e">
        <f t="shared" si="24"/>
        <v>#VALUE!</v>
      </c>
      <c r="S31" s="192" t="e">
        <f t="shared" si="6"/>
        <v>#VALUE!</v>
      </c>
      <c r="T31" s="191" t="e">
        <f t="shared" si="7"/>
        <v>#VALUE!</v>
      </c>
      <c r="U31" s="193" t="e">
        <f t="shared" si="25"/>
        <v>#VALUE!</v>
      </c>
      <c r="V31" s="54"/>
      <c r="W31" s="195" t="e">
        <f t="shared" si="8"/>
        <v>#VALUE!</v>
      </c>
      <c r="X31" s="195" t="e">
        <f t="shared" si="9"/>
        <v>#VALUE!</v>
      </c>
      <c r="Y31" s="195" t="e">
        <f t="shared" si="10"/>
        <v>#VALUE!</v>
      </c>
      <c r="Z31" s="195" t="e">
        <f t="shared" si="11"/>
        <v>#VALUE!</v>
      </c>
      <c r="AA31" s="195" t="e">
        <f t="shared" si="12"/>
        <v>#VALUE!</v>
      </c>
      <c r="AB31" s="195" t="e">
        <f t="shared" si="13"/>
        <v>#VALUE!</v>
      </c>
      <c r="AC31" s="254" t="e">
        <f t="shared" si="26"/>
        <v>#VALUE!</v>
      </c>
      <c r="AD31" s="176" t="e">
        <f t="shared" si="27"/>
        <v>#VALUE!</v>
      </c>
      <c r="AE31" s="192" t="e">
        <f t="shared" si="14"/>
        <v>#VALUE!</v>
      </c>
      <c r="AF31" s="148" t="e">
        <f t="shared" si="28"/>
        <v>#DIV/0!</v>
      </c>
      <c r="AG31" s="56"/>
      <c r="AJ31" s="184"/>
      <c r="AK31" s="184"/>
      <c r="AL31" s="184"/>
      <c r="AM31" s="184"/>
    </row>
    <row r="32" spans="1:39" ht="16.5" customHeight="1" x14ac:dyDescent="0.25">
      <c r="A32" s="153">
        <f t="shared" si="29"/>
        <v>27</v>
      </c>
      <c r="B32" s="151">
        <f t="shared" si="0"/>
        <v>27.032926829268291</v>
      </c>
      <c r="C32" s="256">
        <f>AVERAGE(C31,C33)</f>
        <v>203</v>
      </c>
      <c r="D32" s="256">
        <f t="shared" si="1"/>
        <v>3.7686204947746376</v>
      </c>
      <c r="E32" s="256" t="e">
        <f t="shared" si="15"/>
        <v>#DIV/0!</v>
      </c>
      <c r="F32" s="60" t="e">
        <f t="shared" si="16"/>
        <v>#VALUE!</v>
      </c>
      <c r="G32" s="60" t="e">
        <f t="shared" si="17"/>
        <v>#VALUE!</v>
      </c>
      <c r="H32" s="60" t="e">
        <f t="shared" si="18"/>
        <v>#VALUE!</v>
      </c>
      <c r="I32" s="60" t="e">
        <f t="shared" si="19"/>
        <v>#DIV/0!</v>
      </c>
      <c r="J32" s="60">
        <f t="shared" si="20"/>
        <v>0</v>
      </c>
      <c r="K32" s="59">
        <f t="shared" si="21"/>
        <v>0</v>
      </c>
      <c r="L32" s="184" t="e">
        <f t="shared" si="22"/>
        <v>#DIV/0!</v>
      </c>
      <c r="M32" s="54" t="e">
        <f t="shared" si="23"/>
        <v>#VALUE!</v>
      </c>
      <c r="N32" s="186" t="e">
        <f t="shared" si="2"/>
        <v>#DIV/0!</v>
      </c>
      <c r="O32" s="186" t="e">
        <f t="shared" si="3"/>
        <v>#VALUE!</v>
      </c>
      <c r="P32" s="191" t="e">
        <f t="shared" si="4"/>
        <v>#VALUE!</v>
      </c>
      <c r="Q32" s="150" t="e">
        <f t="shared" si="5"/>
        <v>#VALUE!</v>
      </c>
      <c r="R32" s="191" t="e">
        <f t="shared" si="24"/>
        <v>#VALUE!</v>
      </c>
      <c r="S32" s="192" t="e">
        <f t="shared" si="6"/>
        <v>#VALUE!</v>
      </c>
      <c r="T32" s="191" t="e">
        <f t="shared" si="7"/>
        <v>#VALUE!</v>
      </c>
      <c r="U32" s="193" t="e">
        <f t="shared" si="25"/>
        <v>#VALUE!</v>
      </c>
      <c r="V32" s="54"/>
      <c r="W32" s="195" t="e">
        <f t="shared" si="8"/>
        <v>#VALUE!</v>
      </c>
      <c r="X32" s="195" t="e">
        <f t="shared" si="9"/>
        <v>#VALUE!</v>
      </c>
      <c r="Y32" s="195" t="e">
        <f t="shared" si="10"/>
        <v>#VALUE!</v>
      </c>
      <c r="Z32" s="195" t="e">
        <f t="shared" si="11"/>
        <v>#VALUE!</v>
      </c>
      <c r="AA32" s="195" t="e">
        <f t="shared" si="12"/>
        <v>#VALUE!</v>
      </c>
      <c r="AB32" s="195" t="e">
        <f t="shared" si="13"/>
        <v>#VALUE!</v>
      </c>
      <c r="AC32" s="254" t="e">
        <f t="shared" si="26"/>
        <v>#VALUE!</v>
      </c>
      <c r="AD32" s="176" t="e">
        <f t="shared" si="27"/>
        <v>#VALUE!</v>
      </c>
      <c r="AE32" s="192" t="e">
        <f t="shared" si="14"/>
        <v>#VALUE!</v>
      </c>
      <c r="AF32" s="148" t="e">
        <f t="shared" si="28"/>
        <v>#DIV/0!</v>
      </c>
      <c r="AG32" s="56"/>
      <c r="AJ32" s="184"/>
      <c r="AK32" s="184"/>
      <c r="AL32" s="184"/>
      <c r="AM32" s="184"/>
    </row>
    <row r="33" spans="1:39" ht="16.5" customHeight="1" x14ac:dyDescent="0.25">
      <c r="A33" s="153">
        <f t="shared" si="29"/>
        <v>28</v>
      </c>
      <c r="B33" s="151">
        <f t="shared" si="0"/>
        <v>28.034146341463416</v>
      </c>
      <c r="C33" s="256">
        <f>IF(MLF_LakTag1=7000,119,IF(MLF_LakTag1=9000,189,315))</f>
        <v>189</v>
      </c>
      <c r="D33" s="256">
        <f t="shared" si="1"/>
        <v>4.4491794350005875</v>
      </c>
      <c r="E33" s="256" t="e">
        <f t="shared" si="15"/>
        <v>#DIV/0!</v>
      </c>
      <c r="F33" s="60" t="e">
        <f t="shared" si="16"/>
        <v>#VALUE!</v>
      </c>
      <c r="G33" s="60" t="e">
        <f t="shared" si="17"/>
        <v>#VALUE!</v>
      </c>
      <c r="H33" s="60" t="e">
        <f t="shared" si="18"/>
        <v>#VALUE!</v>
      </c>
      <c r="I33" s="60" t="e">
        <f t="shared" si="19"/>
        <v>#DIV/0!</v>
      </c>
      <c r="J33" s="60">
        <f t="shared" si="20"/>
        <v>0</v>
      </c>
      <c r="K33" s="59">
        <f t="shared" si="21"/>
        <v>0</v>
      </c>
      <c r="L33" s="184" t="e">
        <f t="shared" si="22"/>
        <v>#DIV/0!</v>
      </c>
      <c r="M33" s="54" t="e">
        <f t="shared" si="23"/>
        <v>#VALUE!</v>
      </c>
      <c r="N33" s="186" t="e">
        <f t="shared" si="2"/>
        <v>#DIV/0!</v>
      </c>
      <c r="O33" s="186" t="e">
        <f t="shared" si="3"/>
        <v>#VALUE!</v>
      </c>
      <c r="P33" s="191" t="e">
        <f t="shared" si="4"/>
        <v>#VALUE!</v>
      </c>
      <c r="Q33" s="150" t="e">
        <f t="shared" si="5"/>
        <v>#VALUE!</v>
      </c>
      <c r="R33" s="191" t="e">
        <f t="shared" si="24"/>
        <v>#VALUE!</v>
      </c>
      <c r="S33" s="192" t="e">
        <f t="shared" si="6"/>
        <v>#VALUE!</v>
      </c>
      <c r="T33" s="191" t="e">
        <f t="shared" si="7"/>
        <v>#VALUE!</v>
      </c>
      <c r="U33" s="193" t="e">
        <f t="shared" si="25"/>
        <v>#VALUE!</v>
      </c>
      <c r="V33" s="54"/>
      <c r="W33" s="195" t="e">
        <f t="shared" si="8"/>
        <v>#VALUE!</v>
      </c>
      <c r="X33" s="195" t="e">
        <f t="shared" si="9"/>
        <v>#VALUE!</v>
      </c>
      <c r="Y33" s="195" t="e">
        <f t="shared" si="10"/>
        <v>#VALUE!</v>
      </c>
      <c r="Z33" s="195" t="e">
        <f t="shared" si="11"/>
        <v>#VALUE!</v>
      </c>
      <c r="AA33" s="195" t="e">
        <f t="shared" si="12"/>
        <v>#VALUE!</v>
      </c>
      <c r="AB33" s="195" t="e">
        <f t="shared" si="13"/>
        <v>#VALUE!</v>
      </c>
      <c r="AC33" s="254" t="e">
        <f t="shared" si="26"/>
        <v>#VALUE!</v>
      </c>
      <c r="AD33" s="176" t="e">
        <f t="shared" si="27"/>
        <v>#VALUE!</v>
      </c>
      <c r="AE33" s="192" t="e">
        <f t="shared" si="14"/>
        <v>#VALUE!</v>
      </c>
      <c r="AF33" s="148" t="e">
        <f t="shared" si="28"/>
        <v>#DIV/0!</v>
      </c>
      <c r="AG33" s="56"/>
      <c r="AJ33" s="184"/>
      <c r="AK33" s="184"/>
      <c r="AL33" s="184"/>
      <c r="AM33" s="184"/>
    </row>
    <row r="34" spans="1:39" ht="16.5" customHeight="1" x14ac:dyDescent="0.25">
      <c r="A34" s="153">
        <f t="shared" si="29"/>
        <v>29</v>
      </c>
      <c r="B34" s="151">
        <f t="shared" si="0"/>
        <v>29.035365853658536</v>
      </c>
      <c r="C34" s="256">
        <f>AVERAGE(C33,C35)</f>
        <v>171.5</v>
      </c>
      <c r="D34" s="256">
        <f t="shared" si="1"/>
        <v>5.1446634895222871</v>
      </c>
      <c r="E34" s="256" t="e">
        <f t="shared" si="15"/>
        <v>#DIV/0!</v>
      </c>
      <c r="F34" s="60" t="e">
        <f t="shared" si="16"/>
        <v>#VALUE!</v>
      </c>
      <c r="G34" s="60" t="e">
        <f t="shared" si="17"/>
        <v>#VALUE!</v>
      </c>
      <c r="H34" s="60" t="e">
        <f t="shared" si="18"/>
        <v>#VALUE!</v>
      </c>
      <c r="I34" s="60" t="e">
        <f t="shared" si="19"/>
        <v>#DIV/0!</v>
      </c>
      <c r="J34" s="60">
        <f t="shared" si="20"/>
        <v>0</v>
      </c>
      <c r="K34" s="59">
        <f t="shared" si="21"/>
        <v>0</v>
      </c>
      <c r="L34" s="184" t="e">
        <f t="shared" si="22"/>
        <v>#DIV/0!</v>
      </c>
      <c r="M34" s="54" t="e">
        <f t="shared" si="23"/>
        <v>#VALUE!</v>
      </c>
      <c r="N34" s="186" t="e">
        <f t="shared" si="2"/>
        <v>#DIV/0!</v>
      </c>
      <c r="O34" s="186" t="e">
        <f t="shared" si="3"/>
        <v>#VALUE!</v>
      </c>
      <c r="P34" s="191" t="e">
        <f t="shared" si="4"/>
        <v>#VALUE!</v>
      </c>
      <c r="Q34" s="150" t="e">
        <f t="shared" si="5"/>
        <v>#VALUE!</v>
      </c>
      <c r="R34" s="191" t="e">
        <f t="shared" si="24"/>
        <v>#VALUE!</v>
      </c>
      <c r="S34" s="192" t="e">
        <f t="shared" si="6"/>
        <v>#VALUE!</v>
      </c>
      <c r="T34" s="191" t="e">
        <f t="shared" si="7"/>
        <v>#VALUE!</v>
      </c>
      <c r="U34" s="193" t="e">
        <f t="shared" si="25"/>
        <v>#VALUE!</v>
      </c>
      <c r="V34" s="54"/>
      <c r="W34" s="195" t="e">
        <f t="shared" si="8"/>
        <v>#VALUE!</v>
      </c>
      <c r="X34" s="195" t="e">
        <f t="shared" si="9"/>
        <v>#VALUE!</v>
      </c>
      <c r="Y34" s="195" t="e">
        <f t="shared" si="10"/>
        <v>#VALUE!</v>
      </c>
      <c r="Z34" s="195" t="e">
        <f t="shared" si="11"/>
        <v>#VALUE!</v>
      </c>
      <c r="AA34" s="195" t="e">
        <f t="shared" si="12"/>
        <v>#VALUE!</v>
      </c>
      <c r="AB34" s="195" t="e">
        <f t="shared" si="13"/>
        <v>#VALUE!</v>
      </c>
      <c r="AC34" s="254" t="e">
        <f t="shared" si="26"/>
        <v>#VALUE!</v>
      </c>
      <c r="AD34" s="176" t="e">
        <f t="shared" si="27"/>
        <v>#VALUE!</v>
      </c>
      <c r="AE34" s="192" t="e">
        <f t="shared" si="14"/>
        <v>#VALUE!</v>
      </c>
      <c r="AF34" s="148" t="e">
        <f t="shared" si="28"/>
        <v>#DIV/0!</v>
      </c>
      <c r="AG34" s="56"/>
      <c r="AJ34" s="184"/>
      <c r="AK34" s="184"/>
      <c r="AL34" s="184"/>
      <c r="AM34" s="184"/>
    </row>
    <row r="35" spans="1:39" ht="16.5" customHeight="1" x14ac:dyDescent="0.25">
      <c r="A35" s="205">
        <f t="shared" si="29"/>
        <v>30</v>
      </c>
      <c r="B35" s="206">
        <f t="shared" si="0"/>
        <v>30.036585365853661</v>
      </c>
      <c r="C35" s="256">
        <f>IF(MLF_LakTag1=7000,98,IF(MLF_LakTag1=9000,154,294))</f>
        <v>154</v>
      </c>
      <c r="D35" s="256">
        <f t="shared" si="1"/>
        <v>5.8432619545844489</v>
      </c>
      <c r="E35" s="256" t="e">
        <f t="shared" si="15"/>
        <v>#DIV/0!</v>
      </c>
      <c r="F35" s="207" t="e">
        <f t="shared" si="16"/>
        <v>#VALUE!</v>
      </c>
      <c r="G35" s="207" t="e">
        <f t="shared" si="17"/>
        <v>#VALUE!</v>
      </c>
      <c r="H35" s="207" t="e">
        <f t="shared" si="18"/>
        <v>#VALUE!</v>
      </c>
      <c r="I35" s="207" t="e">
        <f t="shared" si="19"/>
        <v>#DIV/0!</v>
      </c>
      <c r="J35" s="207">
        <f t="shared" si="20"/>
        <v>0</v>
      </c>
      <c r="K35" s="208">
        <f t="shared" si="21"/>
        <v>0</v>
      </c>
      <c r="L35" s="209" t="e">
        <f t="shared" si="22"/>
        <v>#DIV/0!</v>
      </c>
      <c r="M35" s="210" t="e">
        <f t="shared" si="23"/>
        <v>#VALUE!</v>
      </c>
      <c r="N35" s="211" t="e">
        <f t="shared" si="2"/>
        <v>#DIV/0!</v>
      </c>
      <c r="O35" s="211" t="e">
        <f t="shared" si="3"/>
        <v>#VALUE!</v>
      </c>
      <c r="P35" s="212" t="e">
        <f t="shared" si="4"/>
        <v>#VALUE!</v>
      </c>
      <c r="Q35" s="213" t="e">
        <f t="shared" si="5"/>
        <v>#VALUE!</v>
      </c>
      <c r="R35" s="212" t="e">
        <f t="shared" si="24"/>
        <v>#VALUE!</v>
      </c>
      <c r="S35" s="214" t="e">
        <f t="shared" si="6"/>
        <v>#VALUE!</v>
      </c>
      <c r="T35" s="212" t="e">
        <f t="shared" si="7"/>
        <v>#VALUE!</v>
      </c>
      <c r="U35" s="215" t="e">
        <f t="shared" si="25"/>
        <v>#VALUE!</v>
      </c>
      <c r="V35" s="210"/>
      <c r="W35" s="216" t="e">
        <f t="shared" si="8"/>
        <v>#VALUE!</v>
      </c>
      <c r="X35" s="216" t="e">
        <f t="shared" si="9"/>
        <v>#VALUE!</v>
      </c>
      <c r="Y35" s="216" t="e">
        <f t="shared" si="10"/>
        <v>#VALUE!</v>
      </c>
      <c r="Z35" s="216" t="e">
        <f t="shared" si="11"/>
        <v>#VALUE!</v>
      </c>
      <c r="AA35" s="216" t="e">
        <f t="shared" si="12"/>
        <v>#VALUE!</v>
      </c>
      <c r="AB35" s="216" t="e">
        <f t="shared" si="13"/>
        <v>#VALUE!</v>
      </c>
      <c r="AC35" s="255" t="e">
        <f t="shared" si="26"/>
        <v>#VALUE!</v>
      </c>
      <c r="AD35" s="217" t="e">
        <f t="shared" si="27"/>
        <v>#VALUE!</v>
      </c>
      <c r="AE35" s="192" t="e">
        <f t="shared" si="14"/>
        <v>#VALUE!</v>
      </c>
      <c r="AF35" s="148" t="e">
        <f t="shared" si="28"/>
        <v>#DIV/0!</v>
      </c>
      <c r="AG35" s="57"/>
      <c r="AJ35" s="184"/>
      <c r="AK35" s="184"/>
      <c r="AL35" s="184"/>
      <c r="AM35" s="184"/>
    </row>
    <row r="36" spans="1:39" ht="16.5" customHeight="1" x14ac:dyDescent="0.25">
      <c r="A36" s="153">
        <f t="shared" si="29"/>
        <v>31</v>
      </c>
      <c r="B36" s="151">
        <f t="shared" si="0"/>
        <v>31.037804878048778</v>
      </c>
      <c r="C36" s="256">
        <f>AVERAGE(C35,C37)</f>
        <v>140</v>
      </c>
      <c r="D36" s="256">
        <f t="shared" si="1"/>
        <v>6.5331403503363816</v>
      </c>
      <c r="E36" s="256" t="e">
        <f t="shared" si="15"/>
        <v>#DIV/0!</v>
      </c>
      <c r="F36" s="60" t="e">
        <f t="shared" si="16"/>
        <v>#VALUE!</v>
      </c>
      <c r="G36" s="60" t="e">
        <f t="shared" si="17"/>
        <v>#VALUE!</v>
      </c>
      <c r="H36" s="60" t="e">
        <f t="shared" si="18"/>
        <v>#VALUE!</v>
      </c>
      <c r="I36" s="60" t="e">
        <f t="shared" si="19"/>
        <v>#DIV/0!</v>
      </c>
      <c r="J36" s="60">
        <f t="shared" si="20"/>
        <v>0</v>
      </c>
      <c r="K36" s="59">
        <f t="shared" si="21"/>
        <v>0</v>
      </c>
      <c r="L36" s="184" t="e">
        <f t="shared" si="22"/>
        <v>#DIV/0!</v>
      </c>
      <c r="M36" s="54" t="e">
        <f t="shared" si="23"/>
        <v>#VALUE!</v>
      </c>
      <c r="N36" s="186" t="e">
        <f t="shared" si="2"/>
        <v>#DIV/0!</v>
      </c>
      <c r="O36" s="186" t="e">
        <f t="shared" si="3"/>
        <v>#VALUE!</v>
      </c>
      <c r="P36" s="191" t="e">
        <f t="shared" si="4"/>
        <v>#VALUE!</v>
      </c>
      <c r="Q36" s="150" t="e">
        <f t="shared" si="5"/>
        <v>#VALUE!</v>
      </c>
      <c r="R36" s="191" t="e">
        <f t="shared" si="24"/>
        <v>#VALUE!</v>
      </c>
      <c r="S36" s="192" t="e">
        <f t="shared" si="6"/>
        <v>#VALUE!</v>
      </c>
      <c r="T36" s="191" t="e">
        <f t="shared" si="7"/>
        <v>#VALUE!</v>
      </c>
      <c r="U36" s="193" t="e">
        <f t="shared" si="25"/>
        <v>#VALUE!</v>
      </c>
      <c r="V36" s="54"/>
      <c r="W36" s="195" t="e">
        <f t="shared" si="8"/>
        <v>#VALUE!</v>
      </c>
      <c r="X36" s="195" t="e">
        <f t="shared" si="9"/>
        <v>#VALUE!</v>
      </c>
      <c r="Y36" s="195" t="e">
        <f t="shared" si="10"/>
        <v>#VALUE!</v>
      </c>
      <c r="Z36" s="195" t="e">
        <f t="shared" si="11"/>
        <v>#VALUE!</v>
      </c>
      <c r="AA36" s="195" t="e">
        <f t="shared" si="12"/>
        <v>#VALUE!</v>
      </c>
      <c r="AB36" s="195" t="e">
        <f t="shared" si="13"/>
        <v>#VALUE!</v>
      </c>
      <c r="AC36" s="254" t="e">
        <f t="shared" si="26"/>
        <v>#VALUE!</v>
      </c>
      <c r="AD36" s="176" t="e">
        <f t="shared" si="27"/>
        <v>#VALUE!</v>
      </c>
      <c r="AE36" s="192" t="e">
        <f t="shared" si="14"/>
        <v>#VALUE!</v>
      </c>
      <c r="AF36" s="148" t="e">
        <f t="shared" si="28"/>
        <v>#DIV/0!</v>
      </c>
      <c r="AG36" s="56"/>
      <c r="AJ36" s="184"/>
      <c r="AK36" s="184"/>
      <c r="AL36" s="184"/>
      <c r="AM36" s="184"/>
    </row>
    <row r="37" spans="1:39" ht="16.5" customHeight="1" x14ac:dyDescent="0.25">
      <c r="A37" s="153">
        <f t="shared" si="29"/>
        <v>32</v>
      </c>
      <c r="B37" s="151">
        <f t="shared" si="0"/>
        <v>32.039024390243902</v>
      </c>
      <c r="C37" s="256">
        <f>IF(MLF_LakTag1=7000,77,IF(MLF_LakTag1=9000,126,266))</f>
        <v>126</v>
      </c>
      <c r="D37" s="256">
        <f t="shared" si="1"/>
        <v>7.202715492780797</v>
      </c>
      <c r="E37" s="256" t="e">
        <f t="shared" si="15"/>
        <v>#DIV/0!</v>
      </c>
      <c r="F37" s="60" t="e">
        <f t="shared" si="16"/>
        <v>#VALUE!</v>
      </c>
      <c r="G37" s="60" t="e">
        <f t="shared" si="17"/>
        <v>#VALUE!</v>
      </c>
      <c r="H37" s="60" t="e">
        <f t="shared" si="18"/>
        <v>#VALUE!</v>
      </c>
      <c r="I37" s="60" t="e">
        <f t="shared" si="19"/>
        <v>#DIV/0!</v>
      </c>
      <c r="J37" s="60">
        <f t="shared" si="20"/>
        <v>0</v>
      </c>
      <c r="K37" s="59">
        <f t="shared" si="21"/>
        <v>0</v>
      </c>
      <c r="L37" s="184" t="e">
        <f t="shared" si="22"/>
        <v>#DIV/0!</v>
      </c>
      <c r="M37" s="54" t="e">
        <f t="shared" si="23"/>
        <v>#VALUE!</v>
      </c>
      <c r="N37" s="186" t="e">
        <f t="shared" si="2"/>
        <v>#DIV/0!</v>
      </c>
      <c r="O37" s="186" t="e">
        <f t="shared" si="3"/>
        <v>#VALUE!</v>
      </c>
      <c r="P37" s="191" t="e">
        <f t="shared" si="4"/>
        <v>#VALUE!</v>
      </c>
      <c r="Q37" s="150" t="e">
        <f t="shared" si="5"/>
        <v>#VALUE!</v>
      </c>
      <c r="R37" s="191" t="e">
        <f t="shared" si="24"/>
        <v>#VALUE!</v>
      </c>
      <c r="S37" s="192" t="e">
        <f t="shared" si="6"/>
        <v>#VALUE!</v>
      </c>
      <c r="T37" s="191" t="e">
        <f t="shared" si="7"/>
        <v>#VALUE!</v>
      </c>
      <c r="U37" s="193" t="e">
        <f t="shared" si="25"/>
        <v>#VALUE!</v>
      </c>
      <c r="V37" s="54"/>
      <c r="W37" s="195" t="e">
        <f t="shared" si="8"/>
        <v>#VALUE!</v>
      </c>
      <c r="X37" s="195" t="e">
        <f t="shared" si="9"/>
        <v>#VALUE!</v>
      </c>
      <c r="Y37" s="195" t="e">
        <f t="shared" si="10"/>
        <v>#VALUE!</v>
      </c>
      <c r="Z37" s="195" t="e">
        <f t="shared" si="11"/>
        <v>#VALUE!</v>
      </c>
      <c r="AA37" s="195" t="e">
        <f t="shared" si="12"/>
        <v>#VALUE!</v>
      </c>
      <c r="AB37" s="195" t="e">
        <f t="shared" si="13"/>
        <v>#VALUE!</v>
      </c>
      <c r="AC37" s="254" t="e">
        <f t="shared" si="26"/>
        <v>#VALUE!</v>
      </c>
      <c r="AD37" s="176" t="e">
        <f t="shared" si="27"/>
        <v>#VALUE!</v>
      </c>
      <c r="AE37" s="192" t="e">
        <f t="shared" si="14"/>
        <v>#VALUE!</v>
      </c>
      <c r="AF37" s="148" t="e">
        <f t="shared" si="28"/>
        <v>#DIV/0!</v>
      </c>
      <c r="AG37" s="56"/>
      <c r="AJ37" s="184"/>
      <c r="AK37" s="184"/>
      <c r="AL37" s="184"/>
      <c r="AM37" s="184"/>
    </row>
    <row r="38" spans="1:39" ht="16.5" customHeight="1" x14ac:dyDescent="0.25">
      <c r="A38" s="153">
        <f t="shared" si="29"/>
        <v>33</v>
      </c>
      <c r="B38" s="151">
        <f t="shared" si="0"/>
        <v>33.040243902439023</v>
      </c>
      <c r="C38" s="256">
        <f>AVERAGE(C37,C39)</f>
        <v>115.5</v>
      </c>
      <c r="D38" s="256">
        <f t="shared" si="1"/>
        <v>7.8409305657231556</v>
      </c>
      <c r="E38" s="256" t="e">
        <f t="shared" si="15"/>
        <v>#DIV/0!</v>
      </c>
      <c r="F38" s="60" t="e">
        <f t="shared" si="16"/>
        <v>#VALUE!</v>
      </c>
      <c r="G38" s="60" t="e">
        <f t="shared" si="17"/>
        <v>#VALUE!</v>
      </c>
      <c r="H38" s="60" t="e">
        <f t="shared" si="18"/>
        <v>#VALUE!</v>
      </c>
      <c r="I38" s="60" t="e">
        <f t="shared" si="19"/>
        <v>#DIV/0!</v>
      </c>
      <c r="J38" s="60">
        <f t="shared" si="20"/>
        <v>0</v>
      </c>
      <c r="K38" s="59">
        <f t="shared" si="21"/>
        <v>0</v>
      </c>
      <c r="L38" s="184" t="e">
        <f t="shared" si="22"/>
        <v>#DIV/0!</v>
      </c>
      <c r="M38" s="54" t="e">
        <f t="shared" si="23"/>
        <v>#VALUE!</v>
      </c>
      <c r="N38" s="186" t="e">
        <f t="shared" si="2"/>
        <v>#DIV/0!</v>
      </c>
      <c r="O38" s="186" t="e">
        <f t="shared" si="3"/>
        <v>#VALUE!</v>
      </c>
      <c r="P38" s="191" t="e">
        <f t="shared" si="4"/>
        <v>#VALUE!</v>
      </c>
      <c r="Q38" s="150" t="e">
        <f t="shared" si="5"/>
        <v>#VALUE!</v>
      </c>
      <c r="R38" s="191" t="e">
        <f t="shared" si="24"/>
        <v>#VALUE!</v>
      </c>
      <c r="S38" s="192" t="e">
        <f t="shared" si="6"/>
        <v>#VALUE!</v>
      </c>
      <c r="T38" s="191" t="e">
        <f t="shared" si="7"/>
        <v>#VALUE!</v>
      </c>
      <c r="U38" s="193" t="e">
        <f t="shared" si="25"/>
        <v>#VALUE!</v>
      </c>
      <c r="V38" s="54"/>
      <c r="W38" s="195" t="e">
        <f t="shared" si="8"/>
        <v>#VALUE!</v>
      </c>
      <c r="X38" s="195" t="e">
        <f t="shared" si="9"/>
        <v>#VALUE!</v>
      </c>
      <c r="Y38" s="195" t="e">
        <f t="shared" si="10"/>
        <v>#VALUE!</v>
      </c>
      <c r="Z38" s="195" t="e">
        <f t="shared" si="11"/>
        <v>#VALUE!</v>
      </c>
      <c r="AA38" s="195" t="e">
        <f t="shared" si="12"/>
        <v>#VALUE!</v>
      </c>
      <c r="AB38" s="195" t="e">
        <f t="shared" si="13"/>
        <v>#VALUE!</v>
      </c>
      <c r="AC38" s="254" t="e">
        <f t="shared" si="26"/>
        <v>#VALUE!</v>
      </c>
      <c r="AD38" s="176" t="e">
        <f t="shared" si="27"/>
        <v>#VALUE!</v>
      </c>
      <c r="AE38" s="192" t="e">
        <f t="shared" si="14"/>
        <v>#VALUE!</v>
      </c>
      <c r="AF38" s="148" t="e">
        <f t="shared" si="28"/>
        <v>#DIV/0!</v>
      </c>
      <c r="AG38" s="56"/>
      <c r="AJ38" s="184"/>
      <c r="AK38" s="184"/>
      <c r="AL38" s="184"/>
      <c r="AM38" s="184"/>
    </row>
    <row r="39" spans="1:39" ht="16.5" customHeight="1" x14ac:dyDescent="0.25">
      <c r="A39" s="153">
        <f t="shared" si="29"/>
        <v>34</v>
      </c>
      <c r="B39" s="151">
        <f t="shared" si="0"/>
        <v>34.041463414634144</v>
      </c>
      <c r="C39" s="256">
        <f>IF(MLF_LakTag1=7000,63,IF(MLF_LakTag1=9000,105,231))</f>
        <v>105</v>
      </c>
      <c r="D39" s="256">
        <f t="shared" si="1"/>
        <v>8.4375301927207715</v>
      </c>
      <c r="E39" s="256" t="e">
        <f t="shared" si="15"/>
        <v>#DIV/0!</v>
      </c>
      <c r="F39" s="60" t="e">
        <f t="shared" si="16"/>
        <v>#VALUE!</v>
      </c>
      <c r="G39" s="60" t="e">
        <f t="shared" si="17"/>
        <v>#VALUE!</v>
      </c>
      <c r="H39" s="60" t="e">
        <f t="shared" si="18"/>
        <v>#VALUE!</v>
      </c>
      <c r="I39" s="60" t="e">
        <f t="shared" si="19"/>
        <v>#DIV/0!</v>
      </c>
      <c r="J39" s="60">
        <f t="shared" si="20"/>
        <v>0</v>
      </c>
      <c r="K39" s="59">
        <f t="shared" si="21"/>
        <v>0</v>
      </c>
      <c r="L39" s="184" t="e">
        <f t="shared" si="22"/>
        <v>#DIV/0!</v>
      </c>
      <c r="M39" s="54" t="e">
        <f t="shared" si="23"/>
        <v>#VALUE!</v>
      </c>
      <c r="N39" s="186" t="e">
        <f t="shared" si="2"/>
        <v>#DIV/0!</v>
      </c>
      <c r="O39" s="186" t="e">
        <f t="shared" si="3"/>
        <v>#VALUE!</v>
      </c>
      <c r="P39" s="191" t="e">
        <f t="shared" si="4"/>
        <v>#VALUE!</v>
      </c>
      <c r="Q39" s="150" t="e">
        <f t="shared" si="5"/>
        <v>#VALUE!</v>
      </c>
      <c r="R39" s="191" t="e">
        <f t="shared" si="24"/>
        <v>#VALUE!</v>
      </c>
      <c r="S39" s="192" t="e">
        <f t="shared" si="6"/>
        <v>#VALUE!</v>
      </c>
      <c r="T39" s="191" t="e">
        <f t="shared" si="7"/>
        <v>#VALUE!</v>
      </c>
      <c r="U39" s="193" t="e">
        <f t="shared" si="25"/>
        <v>#VALUE!</v>
      </c>
      <c r="V39" s="54"/>
      <c r="W39" s="195" t="e">
        <f t="shared" si="8"/>
        <v>#VALUE!</v>
      </c>
      <c r="X39" s="195" t="e">
        <f t="shared" si="9"/>
        <v>#VALUE!</v>
      </c>
      <c r="Y39" s="195" t="e">
        <f t="shared" si="10"/>
        <v>#VALUE!</v>
      </c>
      <c r="Z39" s="195" t="e">
        <f t="shared" si="11"/>
        <v>#VALUE!</v>
      </c>
      <c r="AA39" s="195" t="e">
        <f t="shared" si="12"/>
        <v>#VALUE!</v>
      </c>
      <c r="AB39" s="195" t="e">
        <f t="shared" si="13"/>
        <v>#VALUE!</v>
      </c>
      <c r="AC39" s="254" t="e">
        <f t="shared" si="26"/>
        <v>#VALUE!</v>
      </c>
      <c r="AD39" s="176" t="e">
        <f t="shared" si="27"/>
        <v>#VALUE!</v>
      </c>
      <c r="AE39" s="192" t="e">
        <f t="shared" si="14"/>
        <v>#VALUE!</v>
      </c>
      <c r="AF39" s="148" t="e">
        <f t="shared" si="28"/>
        <v>#DIV/0!</v>
      </c>
      <c r="AG39" s="56"/>
      <c r="AJ39" s="184"/>
      <c r="AK39" s="184"/>
      <c r="AL39" s="184"/>
      <c r="AM39" s="184"/>
    </row>
    <row r="40" spans="1:39" ht="16.5" customHeight="1" x14ac:dyDescent="0.25">
      <c r="A40" s="205">
        <f t="shared" si="29"/>
        <v>35</v>
      </c>
      <c r="B40" s="206">
        <f t="shared" si="0"/>
        <v>35.042682926829272</v>
      </c>
      <c r="C40" s="256">
        <f>AVERAGE(C39,C41)</f>
        <v>98</v>
      </c>
      <c r="D40" s="256">
        <f t="shared" si="1"/>
        <v>8.9833355090308942</v>
      </c>
      <c r="E40" s="256" t="e">
        <f t="shared" si="15"/>
        <v>#DIV/0!</v>
      </c>
      <c r="F40" s="207" t="e">
        <f t="shared" si="16"/>
        <v>#VALUE!</v>
      </c>
      <c r="G40" s="207" t="e">
        <f t="shared" si="17"/>
        <v>#VALUE!</v>
      </c>
      <c r="H40" s="207" t="e">
        <f t="shared" si="18"/>
        <v>#VALUE!</v>
      </c>
      <c r="I40" s="207" t="e">
        <f t="shared" si="19"/>
        <v>#DIV/0!</v>
      </c>
      <c r="J40" s="207">
        <f t="shared" si="20"/>
        <v>0</v>
      </c>
      <c r="K40" s="208">
        <f t="shared" si="21"/>
        <v>0</v>
      </c>
      <c r="L40" s="209" t="e">
        <f t="shared" si="22"/>
        <v>#DIV/0!</v>
      </c>
      <c r="M40" s="210" t="e">
        <f t="shared" si="23"/>
        <v>#VALUE!</v>
      </c>
      <c r="N40" s="211" t="e">
        <f t="shared" si="2"/>
        <v>#DIV/0!</v>
      </c>
      <c r="O40" s="211" t="e">
        <f t="shared" si="3"/>
        <v>#VALUE!</v>
      </c>
      <c r="P40" s="212" t="e">
        <f t="shared" si="4"/>
        <v>#VALUE!</v>
      </c>
      <c r="Q40" s="213" t="e">
        <f t="shared" si="5"/>
        <v>#VALUE!</v>
      </c>
      <c r="R40" s="212" t="e">
        <f t="shared" si="24"/>
        <v>#VALUE!</v>
      </c>
      <c r="S40" s="214" t="e">
        <f t="shared" si="6"/>
        <v>#VALUE!</v>
      </c>
      <c r="T40" s="212" t="e">
        <f t="shared" si="7"/>
        <v>#VALUE!</v>
      </c>
      <c r="U40" s="215" t="e">
        <f t="shared" si="25"/>
        <v>#VALUE!</v>
      </c>
      <c r="V40" s="210"/>
      <c r="W40" s="216" t="e">
        <f t="shared" si="8"/>
        <v>#VALUE!</v>
      </c>
      <c r="X40" s="216" t="e">
        <f t="shared" si="9"/>
        <v>#VALUE!</v>
      </c>
      <c r="Y40" s="216" t="e">
        <f t="shared" si="10"/>
        <v>#VALUE!</v>
      </c>
      <c r="Z40" s="216" t="e">
        <f t="shared" si="11"/>
        <v>#VALUE!</v>
      </c>
      <c r="AA40" s="216" t="e">
        <f t="shared" si="12"/>
        <v>#VALUE!</v>
      </c>
      <c r="AB40" s="216" t="e">
        <f t="shared" si="13"/>
        <v>#VALUE!</v>
      </c>
      <c r="AC40" s="255" t="e">
        <f t="shared" si="26"/>
        <v>#VALUE!</v>
      </c>
      <c r="AD40" s="217" t="e">
        <f t="shared" si="27"/>
        <v>#VALUE!</v>
      </c>
      <c r="AE40" s="192" t="e">
        <f t="shared" si="14"/>
        <v>#VALUE!</v>
      </c>
      <c r="AF40" s="148" t="e">
        <f t="shared" si="28"/>
        <v>#DIV/0!</v>
      </c>
      <c r="AG40" s="57"/>
      <c r="AJ40" s="184"/>
      <c r="AK40" s="184"/>
      <c r="AL40" s="184"/>
      <c r="AM40" s="184"/>
    </row>
    <row r="41" spans="1:39" ht="16.5" customHeight="1" x14ac:dyDescent="0.25">
      <c r="A41" s="153">
        <f t="shared" si="29"/>
        <v>36</v>
      </c>
      <c r="B41" s="151">
        <f t="shared" si="0"/>
        <v>36.043902439024386</v>
      </c>
      <c r="C41" s="256">
        <f>IF(MLF_LakTag1=7000,42,IF(MLF_LakTag1=9000,91,161))</f>
        <v>91</v>
      </c>
      <c r="D41" s="256">
        <f t="shared" si="1"/>
        <v>9.4705192335612765</v>
      </c>
      <c r="E41" s="256" t="e">
        <f t="shared" si="15"/>
        <v>#DIV/0!</v>
      </c>
      <c r="F41" s="60" t="e">
        <f t="shared" si="16"/>
        <v>#VALUE!</v>
      </c>
      <c r="G41" s="60" t="e">
        <f t="shared" si="17"/>
        <v>#VALUE!</v>
      </c>
      <c r="H41" s="60" t="e">
        <f t="shared" si="18"/>
        <v>#VALUE!</v>
      </c>
      <c r="I41" s="60" t="e">
        <f t="shared" si="19"/>
        <v>#DIV/0!</v>
      </c>
      <c r="J41" s="60">
        <f t="shared" si="20"/>
        <v>0</v>
      </c>
      <c r="K41" s="59">
        <f t="shared" si="21"/>
        <v>0</v>
      </c>
      <c r="L41" s="184" t="e">
        <f t="shared" si="22"/>
        <v>#DIV/0!</v>
      </c>
      <c r="M41" s="54" t="e">
        <f t="shared" si="23"/>
        <v>#VALUE!</v>
      </c>
      <c r="N41" s="186" t="e">
        <f t="shared" si="2"/>
        <v>#DIV/0!</v>
      </c>
      <c r="O41" s="186" t="e">
        <f t="shared" si="3"/>
        <v>#VALUE!</v>
      </c>
      <c r="P41" s="191" t="e">
        <f t="shared" si="4"/>
        <v>#VALUE!</v>
      </c>
      <c r="Q41" s="150" t="e">
        <f t="shared" si="5"/>
        <v>#VALUE!</v>
      </c>
      <c r="R41" s="191" t="e">
        <f t="shared" si="24"/>
        <v>#VALUE!</v>
      </c>
      <c r="S41" s="192" t="e">
        <f t="shared" si="6"/>
        <v>#VALUE!</v>
      </c>
      <c r="T41" s="191" t="e">
        <f t="shared" si="7"/>
        <v>#VALUE!</v>
      </c>
      <c r="U41" s="193" t="e">
        <f t="shared" si="25"/>
        <v>#VALUE!</v>
      </c>
      <c r="V41" s="54"/>
      <c r="W41" s="195" t="e">
        <f t="shared" si="8"/>
        <v>#VALUE!</v>
      </c>
      <c r="X41" s="195" t="e">
        <f t="shared" si="9"/>
        <v>#VALUE!</v>
      </c>
      <c r="Y41" s="195" t="e">
        <f t="shared" si="10"/>
        <v>#VALUE!</v>
      </c>
      <c r="Z41" s="195" t="e">
        <f t="shared" si="11"/>
        <v>#VALUE!</v>
      </c>
      <c r="AA41" s="195" t="e">
        <f t="shared" si="12"/>
        <v>#VALUE!</v>
      </c>
      <c r="AB41" s="195" t="e">
        <f t="shared" si="13"/>
        <v>#VALUE!</v>
      </c>
      <c r="AC41" s="254" t="e">
        <f t="shared" si="26"/>
        <v>#VALUE!</v>
      </c>
      <c r="AD41" s="176" t="e">
        <f t="shared" si="27"/>
        <v>#VALUE!</v>
      </c>
      <c r="AE41" s="192" t="e">
        <f t="shared" si="14"/>
        <v>#VALUE!</v>
      </c>
      <c r="AF41" s="148" t="e">
        <f t="shared" si="28"/>
        <v>#DIV/0!</v>
      </c>
      <c r="AG41" s="56"/>
      <c r="AJ41" s="184"/>
      <c r="AK41" s="184"/>
      <c r="AL41" s="184"/>
      <c r="AM41" s="184"/>
    </row>
    <row r="42" spans="1:39" ht="16.5" customHeight="1" x14ac:dyDescent="0.25">
      <c r="A42" s="153">
        <f t="shared" si="29"/>
        <v>37</v>
      </c>
      <c r="B42" s="151">
        <f t="shared" si="0"/>
        <v>37.045121951219514</v>
      </c>
      <c r="C42" s="256">
        <f>AVERAGE(C41,C43)</f>
        <v>84</v>
      </c>
      <c r="D42" s="256">
        <f t="shared" si="1"/>
        <v>9.8928807408181285</v>
      </c>
      <c r="E42" s="256" t="e">
        <f t="shared" si="15"/>
        <v>#DIV/0!</v>
      </c>
      <c r="F42" s="60" t="e">
        <f t="shared" si="16"/>
        <v>#VALUE!</v>
      </c>
      <c r="G42" s="60" t="e">
        <f t="shared" si="17"/>
        <v>#VALUE!</v>
      </c>
      <c r="H42" s="60" t="e">
        <f t="shared" si="18"/>
        <v>#VALUE!</v>
      </c>
      <c r="I42" s="60" t="e">
        <f t="shared" si="19"/>
        <v>#DIV/0!</v>
      </c>
      <c r="J42" s="60">
        <f t="shared" si="20"/>
        <v>0</v>
      </c>
      <c r="K42" s="59">
        <f t="shared" si="21"/>
        <v>0</v>
      </c>
      <c r="L42" s="184" t="e">
        <f t="shared" si="22"/>
        <v>#DIV/0!</v>
      </c>
      <c r="M42" s="54" t="e">
        <f t="shared" si="23"/>
        <v>#VALUE!</v>
      </c>
      <c r="N42" s="186" t="e">
        <f t="shared" si="2"/>
        <v>#DIV/0!</v>
      </c>
      <c r="O42" s="186" t="e">
        <f t="shared" si="3"/>
        <v>#VALUE!</v>
      </c>
      <c r="P42" s="191" t="e">
        <f t="shared" si="4"/>
        <v>#VALUE!</v>
      </c>
      <c r="Q42" s="150" t="e">
        <f t="shared" si="5"/>
        <v>#VALUE!</v>
      </c>
      <c r="R42" s="191" t="e">
        <f t="shared" si="24"/>
        <v>#VALUE!</v>
      </c>
      <c r="S42" s="192" t="e">
        <f t="shared" si="6"/>
        <v>#VALUE!</v>
      </c>
      <c r="T42" s="191" t="e">
        <f t="shared" si="7"/>
        <v>#VALUE!</v>
      </c>
      <c r="U42" s="193" t="e">
        <f t="shared" si="25"/>
        <v>#VALUE!</v>
      </c>
      <c r="V42" s="54"/>
      <c r="W42" s="195" t="e">
        <f t="shared" si="8"/>
        <v>#VALUE!</v>
      </c>
      <c r="X42" s="195" t="e">
        <f t="shared" si="9"/>
        <v>#VALUE!</v>
      </c>
      <c r="Y42" s="195" t="e">
        <f t="shared" si="10"/>
        <v>#VALUE!</v>
      </c>
      <c r="Z42" s="195" t="e">
        <f t="shared" si="11"/>
        <v>#VALUE!</v>
      </c>
      <c r="AA42" s="195" t="e">
        <f t="shared" si="12"/>
        <v>#VALUE!</v>
      </c>
      <c r="AB42" s="195" t="e">
        <f t="shared" si="13"/>
        <v>#VALUE!</v>
      </c>
      <c r="AC42" s="254" t="e">
        <f t="shared" si="26"/>
        <v>#VALUE!</v>
      </c>
      <c r="AD42" s="176" t="e">
        <f t="shared" si="27"/>
        <v>#VALUE!</v>
      </c>
      <c r="AE42" s="192" t="e">
        <f t="shared" si="14"/>
        <v>#VALUE!</v>
      </c>
      <c r="AF42" s="148" t="e">
        <f t="shared" si="28"/>
        <v>#DIV/0!</v>
      </c>
      <c r="AG42" s="56"/>
      <c r="AJ42" s="184"/>
      <c r="AK42" s="184"/>
      <c r="AL42" s="184"/>
      <c r="AM42" s="184"/>
    </row>
    <row r="43" spans="1:39" ht="16.5" customHeight="1" x14ac:dyDescent="0.25">
      <c r="A43" s="153">
        <f t="shared" si="29"/>
        <v>38</v>
      </c>
      <c r="B43" s="151">
        <f t="shared" si="0"/>
        <v>38.046341463414635</v>
      </c>
      <c r="C43" s="256">
        <f>IF(MLF_LakTag1=7000,42,IF(MLF_LakTag1=9000,77,126))</f>
        <v>77</v>
      </c>
      <c r="D43" s="256">
        <f t="shared" si="1"/>
        <v>10.246121132855478</v>
      </c>
      <c r="E43" s="256" t="e">
        <f t="shared" si="15"/>
        <v>#DIV/0!</v>
      </c>
      <c r="F43" s="60" t="e">
        <f t="shared" si="16"/>
        <v>#VALUE!</v>
      </c>
      <c r="G43" s="60" t="e">
        <f t="shared" si="17"/>
        <v>#VALUE!</v>
      </c>
      <c r="H43" s="60" t="e">
        <f t="shared" si="18"/>
        <v>#VALUE!</v>
      </c>
      <c r="I43" s="60" t="e">
        <f t="shared" si="19"/>
        <v>#DIV/0!</v>
      </c>
      <c r="J43" s="60">
        <f t="shared" si="20"/>
        <v>0</v>
      </c>
      <c r="K43" s="59">
        <f t="shared" si="21"/>
        <v>0</v>
      </c>
      <c r="L43" s="184" t="e">
        <f t="shared" si="22"/>
        <v>#DIV/0!</v>
      </c>
      <c r="M43" s="54" t="e">
        <f t="shared" si="23"/>
        <v>#VALUE!</v>
      </c>
      <c r="N43" s="186" t="e">
        <f t="shared" si="2"/>
        <v>#DIV/0!</v>
      </c>
      <c r="O43" s="186" t="e">
        <f t="shared" si="3"/>
        <v>#VALUE!</v>
      </c>
      <c r="P43" s="191" t="e">
        <f t="shared" si="4"/>
        <v>#VALUE!</v>
      </c>
      <c r="Q43" s="150" t="e">
        <f t="shared" si="5"/>
        <v>#VALUE!</v>
      </c>
      <c r="R43" s="191" t="e">
        <f t="shared" si="24"/>
        <v>#VALUE!</v>
      </c>
      <c r="S43" s="192" t="e">
        <f t="shared" si="6"/>
        <v>#VALUE!</v>
      </c>
      <c r="T43" s="191" t="e">
        <f t="shared" si="7"/>
        <v>#VALUE!</v>
      </c>
      <c r="U43" s="193" t="e">
        <f t="shared" si="25"/>
        <v>#VALUE!</v>
      </c>
      <c r="V43" s="54"/>
      <c r="W43" s="195" t="e">
        <f t="shared" si="8"/>
        <v>#VALUE!</v>
      </c>
      <c r="X43" s="195" t="e">
        <f t="shared" si="9"/>
        <v>#VALUE!</v>
      </c>
      <c r="Y43" s="195" t="e">
        <f t="shared" si="10"/>
        <v>#VALUE!</v>
      </c>
      <c r="Z43" s="195" t="e">
        <f t="shared" si="11"/>
        <v>#VALUE!</v>
      </c>
      <c r="AA43" s="195" t="e">
        <f t="shared" si="12"/>
        <v>#VALUE!</v>
      </c>
      <c r="AB43" s="195" t="e">
        <f t="shared" si="13"/>
        <v>#VALUE!</v>
      </c>
      <c r="AC43" s="254" t="e">
        <f t="shared" si="26"/>
        <v>#VALUE!</v>
      </c>
      <c r="AD43" s="176" t="e">
        <f t="shared" si="27"/>
        <v>#VALUE!</v>
      </c>
      <c r="AE43" s="192" t="e">
        <f t="shared" si="14"/>
        <v>#VALUE!</v>
      </c>
      <c r="AF43" s="148" t="e">
        <f t="shared" si="28"/>
        <v>#DIV/0!</v>
      </c>
      <c r="AG43" s="56"/>
      <c r="AJ43" s="184"/>
      <c r="AK43" s="184"/>
      <c r="AL43" s="184"/>
      <c r="AM43" s="184"/>
    </row>
    <row r="44" spans="1:39" ht="16.5" customHeight="1" x14ac:dyDescent="0.25">
      <c r="A44" s="153">
        <f t="shared" si="29"/>
        <v>39</v>
      </c>
      <c r="B44" s="151">
        <f t="shared" si="0"/>
        <v>39.047560975609755</v>
      </c>
      <c r="C44" s="256">
        <f>AVERAGE(C43,C45)</f>
        <v>70</v>
      </c>
      <c r="D44" s="256">
        <f t="shared" si="1"/>
        <v>10.528118311224347</v>
      </c>
      <c r="E44" s="256" t="e">
        <f t="shared" si="15"/>
        <v>#DIV/0!</v>
      </c>
      <c r="F44" s="60" t="e">
        <f t="shared" si="16"/>
        <v>#VALUE!</v>
      </c>
      <c r="G44" s="60" t="e">
        <f t="shared" si="17"/>
        <v>#VALUE!</v>
      </c>
      <c r="H44" s="60" t="e">
        <f t="shared" si="18"/>
        <v>#VALUE!</v>
      </c>
      <c r="I44" s="60" t="e">
        <f t="shared" si="19"/>
        <v>#DIV/0!</v>
      </c>
      <c r="J44" s="60">
        <f t="shared" si="20"/>
        <v>0</v>
      </c>
      <c r="K44" s="59">
        <f t="shared" si="21"/>
        <v>0</v>
      </c>
      <c r="L44" s="184" t="e">
        <f t="shared" si="22"/>
        <v>#DIV/0!</v>
      </c>
      <c r="M44" s="54" t="e">
        <f t="shared" si="23"/>
        <v>#VALUE!</v>
      </c>
      <c r="N44" s="186" t="e">
        <f t="shared" si="2"/>
        <v>#DIV/0!</v>
      </c>
      <c r="O44" s="186" t="e">
        <f t="shared" si="3"/>
        <v>#VALUE!</v>
      </c>
      <c r="P44" s="191" t="e">
        <f t="shared" si="4"/>
        <v>#VALUE!</v>
      </c>
      <c r="Q44" s="150" t="e">
        <f t="shared" si="5"/>
        <v>#VALUE!</v>
      </c>
      <c r="R44" s="191" t="e">
        <f t="shared" si="24"/>
        <v>#VALUE!</v>
      </c>
      <c r="S44" s="192" t="e">
        <f t="shared" si="6"/>
        <v>#VALUE!</v>
      </c>
      <c r="T44" s="191" t="e">
        <f t="shared" si="7"/>
        <v>#VALUE!</v>
      </c>
      <c r="U44" s="193" t="e">
        <f t="shared" si="25"/>
        <v>#VALUE!</v>
      </c>
      <c r="V44" s="54"/>
      <c r="W44" s="195" t="e">
        <f t="shared" si="8"/>
        <v>#VALUE!</v>
      </c>
      <c r="X44" s="195" t="e">
        <f t="shared" si="9"/>
        <v>#VALUE!</v>
      </c>
      <c r="Y44" s="195" t="e">
        <f t="shared" si="10"/>
        <v>#VALUE!</v>
      </c>
      <c r="Z44" s="195" t="e">
        <f t="shared" si="11"/>
        <v>#VALUE!</v>
      </c>
      <c r="AA44" s="195" t="e">
        <f t="shared" si="12"/>
        <v>#VALUE!</v>
      </c>
      <c r="AB44" s="195" t="e">
        <f t="shared" si="13"/>
        <v>#VALUE!</v>
      </c>
      <c r="AC44" s="254" t="e">
        <f t="shared" si="26"/>
        <v>#VALUE!</v>
      </c>
      <c r="AD44" s="176" t="e">
        <f t="shared" si="27"/>
        <v>#VALUE!</v>
      </c>
      <c r="AE44" s="192" t="e">
        <f t="shared" si="14"/>
        <v>#VALUE!</v>
      </c>
      <c r="AF44" s="148" t="e">
        <f t="shared" si="28"/>
        <v>#DIV/0!</v>
      </c>
      <c r="AG44" s="56"/>
      <c r="AJ44" s="184"/>
      <c r="AK44" s="184"/>
      <c r="AL44" s="184"/>
      <c r="AM44" s="184"/>
    </row>
    <row r="45" spans="1:39" ht="16.5" customHeight="1" x14ac:dyDescent="0.25">
      <c r="A45" s="205">
        <f t="shared" si="29"/>
        <v>40</v>
      </c>
      <c r="B45" s="206">
        <f t="shared" si="0"/>
        <v>40.048780487804876</v>
      </c>
      <c r="C45" s="256">
        <f>IF(MLF_LakTag1=7000,42,IF(MLF_LakTag1=9000,63,91))</f>
        <v>63</v>
      </c>
      <c r="D45" s="256">
        <f t="shared" si="1"/>
        <v>10.739202048921982</v>
      </c>
      <c r="E45" s="256" t="e">
        <f t="shared" si="15"/>
        <v>#DIV/0!</v>
      </c>
      <c r="F45" s="207" t="e">
        <f t="shared" si="16"/>
        <v>#VALUE!</v>
      </c>
      <c r="G45" s="207" t="e">
        <f t="shared" si="17"/>
        <v>#VALUE!</v>
      </c>
      <c r="H45" s="207" t="e">
        <f t="shared" si="18"/>
        <v>#VALUE!</v>
      </c>
      <c r="I45" s="207" t="e">
        <f t="shared" si="19"/>
        <v>#DIV/0!</v>
      </c>
      <c r="J45" s="207">
        <f t="shared" si="20"/>
        <v>0</v>
      </c>
      <c r="K45" s="208">
        <f t="shared" si="21"/>
        <v>0</v>
      </c>
      <c r="L45" s="209" t="e">
        <f t="shared" si="22"/>
        <v>#DIV/0!</v>
      </c>
      <c r="M45" s="210" t="e">
        <f t="shared" si="23"/>
        <v>#VALUE!</v>
      </c>
      <c r="N45" s="211" t="e">
        <f t="shared" si="2"/>
        <v>#DIV/0!</v>
      </c>
      <c r="O45" s="211" t="e">
        <f t="shared" si="3"/>
        <v>#VALUE!</v>
      </c>
      <c r="P45" s="212" t="e">
        <f t="shared" si="4"/>
        <v>#VALUE!</v>
      </c>
      <c r="Q45" s="213" t="e">
        <f t="shared" si="5"/>
        <v>#VALUE!</v>
      </c>
      <c r="R45" s="212" t="e">
        <f t="shared" si="24"/>
        <v>#VALUE!</v>
      </c>
      <c r="S45" s="214" t="e">
        <f t="shared" si="6"/>
        <v>#VALUE!</v>
      </c>
      <c r="T45" s="212" t="e">
        <f t="shared" si="7"/>
        <v>#VALUE!</v>
      </c>
      <c r="U45" s="215" t="e">
        <f t="shared" si="25"/>
        <v>#VALUE!</v>
      </c>
      <c r="V45" s="210"/>
      <c r="W45" s="216" t="e">
        <f t="shared" si="8"/>
        <v>#VALUE!</v>
      </c>
      <c r="X45" s="216" t="e">
        <f t="shared" si="9"/>
        <v>#VALUE!</v>
      </c>
      <c r="Y45" s="216" t="e">
        <f t="shared" si="10"/>
        <v>#VALUE!</v>
      </c>
      <c r="Z45" s="216" t="e">
        <f t="shared" si="11"/>
        <v>#VALUE!</v>
      </c>
      <c r="AA45" s="216" t="e">
        <f t="shared" si="12"/>
        <v>#VALUE!</v>
      </c>
      <c r="AB45" s="216" t="e">
        <f t="shared" si="13"/>
        <v>#VALUE!</v>
      </c>
      <c r="AC45" s="255" t="e">
        <f t="shared" si="26"/>
        <v>#VALUE!</v>
      </c>
      <c r="AD45" s="217" t="e">
        <f t="shared" si="27"/>
        <v>#VALUE!</v>
      </c>
      <c r="AE45" s="192" t="e">
        <f t="shared" si="14"/>
        <v>#VALUE!</v>
      </c>
      <c r="AF45" s="148" t="e">
        <f t="shared" si="28"/>
        <v>#DIV/0!</v>
      </c>
      <c r="AG45" s="57"/>
      <c r="AJ45" s="184"/>
      <c r="AK45" s="184"/>
      <c r="AL45" s="184"/>
      <c r="AM45" s="184"/>
    </row>
    <row r="46" spans="1:39" ht="16.5" customHeight="1" x14ac:dyDescent="0.25">
      <c r="A46" s="153">
        <f t="shared" si="29"/>
        <v>41</v>
      </c>
      <c r="B46" s="151">
        <f t="shared" si="0"/>
        <v>41.050000000000004</v>
      </c>
      <c r="C46" s="256">
        <f>AVERAGE(C45,C47)</f>
        <v>56</v>
      </c>
      <c r="D46" s="256">
        <f t="shared" si="1"/>
        <v>10.882429062339895</v>
      </c>
      <c r="E46" s="256" t="e">
        <f t="shared" si="15"/>
        <v>#DIV/0!</v>
      </c>
      <c r="F46" s="60" t="e">
        <f t="shared" si="16"/>
        <v>#VALUE!</v>
      </c>
      <c r="G46" s="60" t="e">
        <f t="shared" si="17"/>
        <v>#VALUE!</v>
      </c>
      <c r="H46" s="60" t="e">
        <f t="shared" si="18"/>
        <v>#VALUE!</v>
      </c>
      <c r="I46" s="60" t="e">
        <f t="shared" si="19"/>
        <v>#DIV/0!</v>
      </c>
      <c r="J46" s="60">
        <f t="shared" si="20"/>
        <v>0</v>
      </c>
      <c r="K46" s="59">
        <f t="shared" si="21"/>
        <v>0</v>
      </c>
      <c r="L46" s="184" t="e">
        <f t="shared" si="22"/>
        <v>#DIV/0!</v>
      </c>
      <c r="M46" s="54" t="e">
        <f t="shared" si="23"/>
        <v>#VALUE!</v>
      </c>
      <c r="N46" s="186" t="e">
        <f t="shared" si="2"/>
        <v>#DIV/0!</v>
      </c>
      <c r="O46" s="186" t="e">
        <f t="shared" si="3"/>
        <v>#VALUE!</v>
      </c>
      <c r="P46" s="191" t="e">
        <f t="shared" si="4"/>
        <v>#VALUE!</v>
      </c>
      <c r="Q46" s="150" t="e">
        <f t="shared" si="5"/>
        <v>#VALUE!</v>
      </c>
      <c r="R46" s="191" t="e">
        <f t="shared" si="24"/>
        <v>#VALUE!</v>
      </c>
      <c r="S46" s="192" t="e">
        <f t="shared" si="6"/>
        <v>#VALUE!</v>
      </c>
      <c r="T46" s="191" t="e">
        <f t="shared" si="7"/>
        <v>#VALUE!</v>
      </c>
      <c r="U46" s="193" t="e">
        <f t="shared" si="25"/>
        <v>#VALUE!</v>
      </c>
      <c r="V46" s="54"/>
      <c r="W46" s="195" t="e">
        <f t="shared" si="8"/>
        <v>#VALUE!</v>
      </c>
      <c r="X46" s="195" t="e">
        <f t="shared" si="9"/>
        <v>#VALUE!</v>
      </c>
      <c r="Y46" s="195" t="e">
        <f t="shared" si="10"/>
        <v>#VALUE!</v>
      </c>
      <c r="Z46" s="195" t="e">
        <f t="shared" si="11"/>
        <v>#VALUE!</v>
      </c>
      <c r="AA46" s="195" t="e">
        <f t="shared" si="12"/>
        <v>#VALUE!</v>
      </c>
      <c r="AB46" s="195" t="e">
        <f t="shared" si="13"/>
        <v>#VALUE!</v>
      </c>
      <c r="AC46" s="254" t="e">
        <f t="shared" si="26"/>
        <v>#VALUE!</v>
      </c>
      <c r="AD46" s="176" t="e">
        <f t="shared" si="27"/>
        <v>#VALUE!</v>
      </c>
      <c r="AE46" s="192" t="e">
        <f t="shared" si="14"/>
        <v>#VALUE!</v>
      </c>
      <c r="AF46" s="148" t="e">
        <f t="shared" si="28"/>
        <v>#DIV/0!</v>
      </c>
      <c r="AG46" s="56"/>
      <c r="AJ46" s="184"/>
      <c r="AK46" s="184"/>
      <c r="AL46" s="184"/>
      <c r="AM46" s="184"/>
    </row>
    <row r="47" spans="1:39" ht="16.5" customHeight="1" x14ac:dyDescent="0.25">
      <c r="A47" s="153">
        <f t="shared" si="29"/>
        <v>42</v>
      </c>
      <c r="B47" s="151">
        <f t="shared" si="0"/>
        <v>42.051219512195125</v>
      </c>
      <c r="C47" s="256">
        <f>IF(MLF_LakTag1=7000,42,IF(MLF_LakTag1=9000,49,56))</f>
        <v>49</v>
      </c>
      <c r="D47" s="256">
        <f t="shared" si="1"/>
        <v>10.963858083214291</v>
      </c>
      <c r="E47" s="256" t="e">
        <f t="shared" si="15"/>
        <v>#DIV/0!</v>
      </c>
      <c r="F47" s="60" t="e">
        <f t="shared" si="16"/>
        <v>#VALUE!</v>
      </c>
      <c r="G47" s="60" t="e">
        <f t="shared" si="17"/>
        <v>#VALUE!</v>
      </c>
      <c r="H47" s="60" t="e">
        <f t="shared" si="18"/>
        <v>#VALUE!</v>
      </c>
      <c r="I47" s="60" t="e">
        <f t="shared" si="19"/>
        <v>#DIV/0!</v>
      </c>
      <c r="J47" s="60">
        <f t="shared" si="20"/>
        <v>0</v>
      </c>
      <c r="K47" s="59">
        <f t="shared" si="21"/>
        <v>0</v>
      </c>
      <c r="L47" s="184" t="e">
        <f t="shared" si="22"/>
        <v>#DIV/0!</v>
      </c>
      <c r="M47" s="54" t="e">
        <f t="shared" si="23"/>
        <v>#VALUE!</v>
      </c>
      <c r="N47" s="186" t="e">
        <f t="shared" si="2"/>
        <v>#DIV/0!</v>
      </c>
      <c r="O47" s="186" t="e">
        <f t="shared" si="3"/>
        <v>#VALUE!</v>
      </c>
      <c r="P47" s="191" t="e">
        <f t="shared" si="4"/>
        <v>#VALUE!</v>
      </c>
      <c r="Q47" s="150" t="e">
        <f t="shared" si="5"/>
        <v>#VALUE!</v>
      </c>
      <c r="R47" s="191" t="e">
        <f t="shared" si="24"/>
        <v>#VALUE!</v>
      </c>
      <c r="S47" s="192" t="e">
        <f t="shared" si="6"/>
        <v>#VALUE!</v>
      </c>
      <c r="T47" s="191" t="e">
        <f t="shared" si="7"/>
        <v>#VALUE!</v>
      </c>
      <c r="U47" s="193" t="e">
        <f t="shared" si="25"/>
        <v>#VALUE!</v>
      </c>
      <c r="V47" s="54"/>
      <c r="W47" s="195" t="e">
        <f t="shared" si="8"/>
        <v>#VALUE!</v>
      </c>
      <c r="X47" s="195" t="e">
        <f t="shared" si="9"/>
        <v>#VALUE!</v>
      </c>
      <c r="Y47" s="195" t="e">
        <f t="shared" si="10"/>
        <v>#VALUE!</v>
      </c>
      <c r="Z47" s="195" t="e">
        <f t="shared" si="11"/>
        <v>#VALUE!</v>
      </c>
      <c r="AA47" s="195" t="e">
        <f t="shared" si="12"/>
        <v>#VALUE!</v>
      </c>
      <c r="AB47" s="195" t="e">
        <f t="shared" si="13"/>
        <v>#VALUE!</v>
      </c>
      <c r="AC47" s="254" t="e">
        <f t="shared" si="26"/>
        <v>#VALUE!</v>
      </c>
      <c r="AD47" s="176" t="e">
        <f t="shared" si="27"/>
        <v>#VALUE!</v>
      </c>
      <c r="AE47" s="192" t="e">
        <f t="shared" si="14"/>
        <v>#VALUE!</v>
      </c>
      <c r="AF47" s="148" t="e">
        <f t="shared" si="28"/>
        <v>#DIV/0!</v>
      </c>
      <c r="AG47" s="56"/>
      <c r="AJ47" s="184"/>
      <c r="AK47" s="184"/>
      <c r="AL47" s="184"/>
      <c r="AM47" s="184"/>
    </row>
    <row r="48" spans="1:39" ht="16.5" customHeight="1" x14ac:dyDescent="0.25">
      <c r="A48" s="153">
        <f t="shared" si="29"/>
        <v>43</v>
      </c>
      <c r="B48" s="151">
        <f t="shared" si="0"/>
        <v>43.052439024390246</v>
      </c>
      <c r="C48" s="256">
        <f>AVERAGE(C47,C49)</f>
        <v>49</v>
      </c>
      <c r="D48" s="256">
        <f t="shared" si="1"/>
        <v>10.992824930574869</v>
      </c>
      <c r="E48" s="256" t="e">
        <f t="shared" si="15"/>
        <v>#DIV/0!</v>
      </c>
      <c r="F48" s="60" t="e">
        <f t="shared" si="16"/>
        <v>#VALUE!</v>
      </c>
      <c r="G48" s="60" t="e">
        <f t="shared" si="17"/>
        <v>#VALUE!</v>
      </c>
      <c r="H48" s="60" t="e">
        <f t="shared" si="18"/>
        <v>#VALUE!</v>
      </c>
      <c r="I48" s="60" t="e">
        <f t="shared" si="19"/>
        <v>#DIV/0!</v>
      </c>
      <c r="J48" s="60">
        <f t="shared" si="20"/>
        <v>0</v>
      </c>
      <c r="K48" s="59">
        <f t="shared" si="21"/>
        <v>0</v>
      </c>
      <c r="L48" s="184" t="e">
        <f t="shared" si="22"/>
        <v>#DIV/0!</v>
      </c>
      <c r="M48" s="54" t="e">
        <f t="shared" si="23"/>
        <v>#VALUE!</v>
      </c>
      <c r="N48" s="186" t="e">
        <f t="shared" si="2"/>
        <v>#DIV/0!</v>
      </c>
      <c r="O48" s="186" t="e">
        <f t="shared" si="3"/>
        <v>#VALUE!</v>
      </c>
      <c r="P48" s="191" t="e">
        <f t="shared" si="4"/>
        <v>#VALUE!</v>
      </c>
      <c r="Q48" s="150" t="e">
        <f t="shared" si="5"/>
        <v>#VALUE!</v>
      </c>
      <c r="R48" s="191" t="e">
        <f t="shared" si="24"/>
        <v>#VALUE!</v>
      </c>
      <c r="S48" s="192" t="e">
        <f t="shared" si="6"/>
        <v>#VALUE!</v>
      </c>
      <c r="T48" s="191" t="e">
        <f t="shared" si="7"/>
        <v>#VALUE!</v>
      </c>
      <c r="U48" s="193" t="e">
        <f t="shared" si="25"/>
        <v>#VALUE!</v>
      </c>
      <c r="V48" s="54"/>
      <c r="W48" s="195" t="e">
        <f t="shared" si="8"/>
        <v>#VALUE!</v>
      </c>
      <c r="X48" s="195" t="e">
        <f t="shared" si="9"/>
        <v>#VALUE!</v>
      </c>
      <c r="Y48" s="195" t="e">
        <f t="shared" si="10"/>
        <v>#VALUE!</v>
      </c>
      <c r="Z48" s="195" t="e">
        <f t="shared" si="11"/>
        <v>#VALUE!</v>
      </c>
      <c r="AA48" s="195" t="e">
        <f t="shared" si="12"/>
        <v>#VALUE!</v>
      </c>
      <c r="AB48" s="195" t="e">
        <f t="shared" si="13"/>
        <v>#VALUE!</v>
      </c>
      <c r="AC48" s="254" t="e">
        <f t="shared" si="26"/>
        <v>#VALUE!</v>
      </c>
      <c r="AD48" s="176" t="e">
        <f t="shared" si="27"/>
        <v>#VALUE!</v>
      </c>
      <c r="AE48" s="192" t="e">
        <f t="shared" si="14"/>
        <v>#VALUE!</v>
      </c>
      <c r="AF48" s="148" t="e">
        <f t="shared" si="28"/>
        <v>#DIV/0!</v>
      </c>
      <c r="AG48" s="56"/>
      <c r="AJ48" s="184"/>
      <c r="AK48" s="184"/>
      <c r="AL48" s="184"/>
      <c r="AM48" s="184"/>
    </row>
    <row r="49" spans="1:39" ht="15" x14ac:dyDescent="0.25">
      <c r="A49" s="153">
        <f t="shared" si="29"/>
        <v>44</v>
      </c>
      <c r="B49" s="151">
        <f t="shared" si="0"/>
        <v>44.05365853658536</v>
      </c>
      <c r="C49" s="256">
        <f>IF(MLF_LakTag1=7000,42,IF(MLF_LakTag1=9000,49,42))</f>
        <v>49</v>
      </c>
      <c r="D49" s="256">
        <f t="shared" si="1"/>
        <v>10.98221758269213</v>
      </c>
      <c r="E49" s="256" t="e">
        <f t="shared" si="15"/>
        <v>#DIV/0!</v>
      </c>
      <c r="F49" s="60" t="e">
        <f t="shared" si="16"/>
        <v>#VALUE!</v>
      </c>
      <c r="G49" s="60" t="e">
        <f t="shared" si="17"/>
        <v>#VALUE!</v>
      </c>
      <c r="H49" s="60" t="e">
        <f t="shared" si="18"/>
        <v>#VALUE!</v>
      </c>
      <c r="I49" s="60" t="e">
        <f t="shared" si="19"/>
        <v>#DIV/0!</v>
      </c>
      <c r="J49" s="60">
        <f t="shared" si="20"/>
        <v>0</v>
      </c>
      <c r="K49" s="59">
        <f t="shared" si="21"/>
        <v>0</v>
      </c>
      <c r="L49" s="184" t="e">
        <f t="shared" si="22"/>
        <v>#DIV/0!</v>
      </c>
      <c r="M49" s="54" t="e">
        <f t="shared" si="23"/>
        <v>#VALUE!</v>
      </c>
      <c r="N49" s="186" t="e">
        <f t="shared" si="2"/>
        <v>#DIV/0!</v>
      </c>
      <c r="O49" s="186" t="e">
        <f t="shared" si="3"/>
        <v>#VALUE!</v>
      </c>
      <c r="P49" s="191" t="e">
        <f t="shared" si="4"/>
        <v>#VALUE!</v>
      </c>
      <c r="Q49" s="150" t="e">
        <f t="shared" si="5"/>
        <v>#VALUE!</v>
      </c>
      <c r="R49" s="191" t="e">
        <f t="shared" si="24"/>
        <v>#VALUE!</v>
      </c>
      <c r="S49" s="192" t="e">
        <f t="shared" si="6"/>
        <v>#VALUE!</v>
      </c>
      <c r="T49" s="191" t="e">
        <f t="shared" si="7"/>
        <v>#VALUE!</v>
      </c>
      <c r="U49" s="193" t="e">
        <f t="shared" si="25"/>
        <v>#VALUE!</v>
      </c>
      <c r="V49" s="54"/>
      <c r="W49" s="195" t="e">
        <f t="shared" si="8"/>
        <v>#VALUE!</v>
      </c>
      <c r="X49" s="195" t="e">
        <f t="shared" si="9"/>
        <v>#VALUE!</v>
      </c>
      <c r="Y49" s="195" t="e">
        <f t="shared" si="10"/>
        <v>#VALUE!</v>
      </c>
      <c r="Z49" s="195" t="e">
        <f t="shared" si="11"/>
        <v>#VALUE!</v>
      </c>
      <c r="AA49" s="195" t="e">
        <f t="shared" si="12"/>
        <v>#VALUE!</v>
      </c>
      <c r="AB49" s="195" t="e">
        <f t="shared" si="13"/>
        <v>#VALUE!</v>
      </c>
      <c r="AC49" s="254" t="e">
        <f t="shared" si="26"/>
        <v>#VALUE!</v>
      </c>
      <c r="AD49" s="176" t="e">
        <f t="shared" si="27"/>
        <v>#VALUE!</v>
      </c>
      <c r="AE49" s="279" t="e">
        <f t="shared" si="14"/>
        <v>#VALUE!</v>
      </c>
      <c r="AF49" s="148" t="e">
        <f t="shared" si="28"/>
        <v>#DIV/0!</v>
      </c>
      <c r="AG49" s="56"/>
      <c r="AJ49" s="184"/>
      <c r="AK49" s="184"/>
      <c r="AL49" s="184"/>
      <c r="AM49" s="184"/>
    </row>
    <row r="50" spans="1:39" ht="15.75" thickBot="1" x14ac:dyDescent="0.3">
      <c r="A50" s="128" t="str">
        <f>'Ration Milch'!B50&amp; "             Die Daten sind auf Plausibilität zu prüfen, um Eingabe- und Berechnungsfehler auszuschließen. Es wird keine Gewähr zur Richtigkeit der Daten übernommen."</f>
        <v xml:space="preserve">             Die Daten sind auf Plausibilität zu prüfen, um Eingabe- und Berechnungsfehler auszuschließen. Es wird keine Gewähr zur Richtigkeit der Daten übernommen.</v>
      </c>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30"/>
      <c r="AJ50" s="184"/>
      <c r="AK50" s="184"/>
      <c r="AL50" s="184"/>
      <c r="AM50" s="184"/>
    </row>
    <row r="51" spans="1:39" ht="12" thickTop="1" x14ac:dyDescent="0.2">
      <c r="A51" s="199"/>
      <c r="AG51" s="47"/>
    </row>
    <row r="52" spans="1:39" s="62" customFormat="1" x14ac:dyDescent="0.2">
      <c r="A52" s="200"/>
      <c r="AG52" s="201"/>
      <c r="AH52" s="63"/>
      <c r="AI52" s="63"/>
      <c r="AJ52" s="63"/>
      <c r="AK52" s="63"/>
      <c r="AL52" s="63"/>
      <c r="AM52" s="63"/>
    </row>
    <row r="53" spans="1:39" x14ac:dyDescent="0.2">
      <c r="A53" s="199"/>
      <c r="AG53" s="47"/>
    </row>
    <row r="54" spans="1:39" x14ac:dyDescent="0.2">
      <c r="A54" s="199"/>
      <c r="AG54" s="47"/>
    </row>
    <row r="55" spans="1:39" x14ac:dyDescent="0.2">
      <c r="A55" s="199"/>
      <c r="AG55" s="47"/>
    </row>
    <row r="56" spans="1:39" x14ac:dyDescent="0.2">
      <c r="A56" s="199"/>
      <c r="AG56" s="47"/>
    </row>
    <row r="57" spans="1:39" x14ac:dyDescent="0.2">
      <c r="A57" s="199"/>
      <c r="AG57" s="47"/>
    </row>
    <row r="58" spans="1:39" x14ac:dyDescent="0.2">
      <c r="A58" s="199"/>
      <c r="AG58" s="47"/>
    </row>
    <row r="59" spans="1:39" x14ac:dyDescent="0.2">
      <c r="A59" s="199"/>
      <c r="AG59" s="47"/>
    </row>
    <row r="60" spans="1:39" x14ac:dyDescent="0.2">
      <c r="A60" s="199"/>
      <c r="AG60" s="47"/>
    </row>
    <row r="61" spans="1:39" x14ac:dyDescent="0.2">
      <c r="A61" s="199"/>
      <c r="AG61" s="47"/>
    </row>
    <row r="62" spans="1:39" x14ac:dyDescent="0.2">
      <c r="A62" s="199"/>
      <c r="AG62" s="47"/>
    </row>
    <row r="63" spans="1:39" x14ac:dyDescent="0.2">
      <c r="A63" s="199"/>
      <c r="AG63" s="47"/>
    </row>
    <row r="64" spans="1:39" x14ac:dyDescent="0.2">
      <c r="A64" s="199"/>
      <c r="AG64" s="47"/>
    </row>
    <row r="65" spans="1:33" ht="12" thickBot="1" x14ac:dyDescent="0.25">
      <c r="A65" s="202"/>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4"/>
    </row>
    <row r="66" spans="1:33" ht="3.75" customHeight="1" thickTop="1" x14ac:dyDescent="0.2"/>
  </sheetData>
  <sheetProtection algorithmName="SHA-512" hashValue="tDC6lsrghhiKHMvfaiFlFK43WXRn+AqyQ+Z2Tmln+elno6J4vBeN2/4CeQ1yR2PRv62+x4h2IXtD4tJT9QFoTg==" saltValue="Yqi1ZNue2hs9xofeYqtMLg==" spinCount="100000" sheet="1" objects="1" scenarios="1" formatColumns="0"/>
  <customSheetViews>
    <customSheetView guid="{2DEE39A3-88C5-4D7F-AEB9-0B43FD431165}" showGridLines="0" showRowCol="0" fitToPage="1" hiddenRows="1" hiddenColumns="1" state="hidden" topLeftCell="A7">
      <selection activeCell="AE22" sqref="AE22"/>
      <pageMargins left="0.35433070866141736" right="0.35433070866141736" top="0.70866141732283472" bottom="0.31496062992125984" header="0.31496062992125984" footer="0"/>
      <printOptions horizontalCentered="1"/>
      <pageSetup paperSize="9" scale="61" orientation="landscape" r:id="rId1"/>
      <headerFooter>
        <oddFooter>&amp;L&amp;F&amp;A&amp;R&amp;D&amp;T</oddFooter>
      </headerFooter>
    </customSheetView>
    <customSheetView guid="{117F828A-4542-4D18-9CDB-B606529AAD66}" scale="115" showGridLines="0" fitToPage="1" hiddenRows="1" hiddenColumns="1">
      <selection sqref="A1:AE1"/>
      <pageMargins left="0.35433070866141736" right="0.35433070866141736" top="0.70866141732283472" bottom="0.31496062992125984" header="0.31496062992125984" footer="0"/>
      <printOptions horizontalCentered="1"/>
      <pageSetup paperSize="9" scale="61" orientation="landscape" r:id="rId2"/>
      <headerFooter>
        <oddFooter>&amp;L&amp;F&amp;A&amp;R&amp;D&amp;T</oddFooter>
      </headerFooter>
    </customSheetView>
  </customSheetViews>
  <mergeCells count="13">
    <mergeCell ref="K20:M20"/>
    <mergeCell ref="J14:K14"/>
    <mergeCell ref="J12:K12"/>
    <mergeCell ref="J10:K10"/>
    <mergeCell ref="J6:K6"/>
    <mergeCell ref="J8:K8"/>
    <mergeCell ref="J18:K18"/>
    <mergeCell ref="A1:AF1"/>
    <mergeCell ref="A16:G16"/>
    <mergeCell ref="A18:I18"/>
    <mergeCell ref="J4:K4"/>
    <mergeCell ref="AD4:AE4"/>
    <mergeCell ref="AD6:AE6"/>
  </mergeCells>
  <conditionalFormatting sqref="K21:K49 M21:M49">
    <cfRule type="cellIs" dxfId="24" priority="61" operator="greaterThan">
      <formula>$AF$12</formula>
    </cfRule>
  </conditionalFormatting>
  <conditionalFormatting sqref="Q21:Q49">
    <cfRule type="cellIs" dxfId="23" priority="34" operator="between">
      <formula>-20</formula>
      <formula>0</formula>
    </cfRule>
  </conditionalFormatting>
  <conditionalFormatting sqref="T21:T49">
    <cfRule type="cellIs" dxfId="20" priority="23" operator="lessThan">
      <formula>IF($S21&gt;250,280,200)</formula>
    </cfRule>
  </conditionalFormatting>
  <printOptions horizontalCentered="1"/>
  <pageMargins left="0.35433070866141736" right="0.35433070866141736" top="0.70866141732283472" bottom="0.31496062992125984" header="0.31496062992125984" footer="0"/>
  <pageSetup paperSize="9" scale="65" orientation="landscape" r:id="rId3"/>
  <headerFooter>
    <oddFooter>&amp;L&amp;F&amp;A&amp;R&amp;D&amp;T</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2289" r:id="rId6" name="Drop Down 1">
              <controlPr defaultSize="0" autoLine="0" autoPict="0">
                <anchor moveWithCells="1">
                  <from>
                    <xdr:col>31</xdr:col>
                    <xdr:colOff>9525</xdr:colOff>
                    <xdr:row>3</xdr:row>
                    <xdr:rowOff>66675</xdr:rowOff>
                  </from>
                  <to>
                    <xdr:col>32</xdr:col>
                    <xdr:colOff>9525</xdr:colOff>
                    <xdr:row>4</xdr:row>
                    <xdr:rowOff>9525</xdr:rowOff>
                  </to>
                </anchor>
              </controlPr>
            </control>
          </mc:Choice>
        </mc:AlternateContent>
        <mc:AlternateContent xmlns:mc="http://schemas.openxmlformats.org/markup-compatibility/2006">
          <mc:Choice Requires="x14">
            <control shapeId="12295" r:id="rId7" name="Spinner 7">
              <controlPr defaultSize="0" print="0" autoPict="0">
                <anchor moveWithCells="1" sizeWithCells="1">
                  <from>
                    <xdr:col>31</xdr:col>
                    <xdr:colOff>685800</xdr:colOff>
                    <xdr:row>15</xdr:row>
                    <xdr:rowOff>0</xdr:rowOff>
                  </from>
                  <to>
                    <xdr:col>32</xdr:col>
                    <xdr:colOff>0</xdr:colOff>
                    <xdr:row>16</xdr:row>
                    <xdr:rowOff>0</xdr:rowOff>
                  </to>
                </anchor>
              </controlPr>
            </control>
          </mc:Choice>
        </mc:AlternateContent>
        <mc:AlternateContent xmlns:mc="http://schemas.openxmlformats.org/markup-compatibility/2006">
          <mc:Choice Requires="x14">
            <control shapeId="12299" r:id="rId8" name="Spinner 11">
              <controlPr defaultSize="0" print="0" autoPict="0">
                <anchor moveWithCells="1" sizeWithCells="1">
                  <from>
                    <xdr:col>31</xdr:col>
                    <xdr:colOff>685800</xdr:colOff>
                    <xdr:row>11</xdr:row>
                    <xdr:rowOff>9525</xdr:rowOff>
                  </from>
                  <to>
                    <xdr:col>32</xdr:col>
                    <xdr:colOff>0</xdr:colOff>
                    <xdr:row>12</xdr:row>
                    <xdr:rowOff>9525</xdr:rowOff>
                  </to>
                </anchor>
              </controlPr>
            </control>
          </mc:Choice>
        </mc:AlternateContent>
        <mc:AlternateContent xmlns:mc="http://schemas.openxmlformats.org/markup-compatibility/2006">
          <mc:Choice Requires="x14">
            <control shapeId="12304" r:id="rId9" name="Spinner 16">
              <controlPr defaultSize="0" print="0" autoPict="0">
                <anchor moveWithCells="1" sizeWithCells="1">
                  <from>
                    <xdr:col>31</xdr:col>
                    <xdr:colOff>685800</xdr:colOff>
                    <xdr:row>13</xdr:row>
                    <xdr:rowOff>9525</xdr:rowOff>
                  </from>
                  <to>
                    <xdr:col>32</xdr:col>
                    <xdr:colOff>0</xdr:colOff>
                    <xdr:row>14</xdr:row>
                    <xdr:rowOff>9525</xdr:rowOff>
                  </to>
                </anchor>
              </controlPr>
            </control>
          </mc:Choice>
        </mc:AlternateContent>
        <mc:AlternateContent xmlns:mc="http://schemas.openxmlformats.org/markup-compatibility/2006">
          <mc:Choice Requires="x14">
            <control shapeId="12305" r:id="rId10" name="Drop Down 17">
              <controlPr defaultSize="0" autoLine="0" autoPict="0">
                <anchor moveWithCells="1">
                  <from>
                    <xdr:col>31</xdr:col>
                    <xdr:colOff>9525</xdr:colOff>
                    <xdr:row>5</xdr:row>
                    <xdr:rowOff>9525</xdr:rowOff>
                  </from>
                  <to>
                    <xdr:col>32</xdr:col>
                    <xdr:colOff>0</xdr:colOff>
                    <xdr:row>5</xdr:row>
                    <xdr:rowOff>266700</xdr:rowOff>
                  </to>
                </anchor>
              </controlPr>
            </control>
          </mc:Choice>
        </mc:AlternateContent>
        <mc:AlternateContent xmlns:mc="http://schemas.openxmlformats.org/markup-compatibility/2006">
          <mc:Choice Requires="x14">
            <control shapeId="12306" r:id="rId11" name="Spinner 18">
              <controlPr defaultSize="0" print="0" autoPict="0">
                <anchor moveWithCells="1" sizeWithCells="1">
                  <from>
                    <xdr:col>9</xdr:col>
                    <xdr:colOff>714375</xdr:colOff>
                    <xdr:row>5</xdr:row>
                    <xdr:rowOff>9525</xdr:rowOff>
                  </from>
                  <to>
                    <xdr:col>11</xdr:col>
                    <xdr:colOff>9525</xdr:colOff>
                    <xdr:row>6</xdr:row>
                    <xdr:rowOff>0</xdr:rowOff>
                  </to>
                </anchor>
              </controlPr>
            </control>
          </mc:Choice>
        </mc:AlternateContent>
        <mc:AlternateContent xmlns:mc="http://schemas.openxmlformats.org/markup-compatibility/2006">
          <mc:Choice Requires="x14">
            <control shapeId="12309" r:id="rId12" name="Spinner 21">
              <controlPr defaultSize="0" autoPict="0">
                <anchor moveWithCells="1" sizeWithCells="1">
                  <from>
                    <xdr:col>31</xdr:col>
                    <xdr:colOff>704850</xdr:colOff>
                    <xdr:row>17</xdr:row>
                    <xdr:rowOff>0</xdr:rowOff>
                  </from>
                  <to>
                    <xdr:col>32</xdr:col>
                    <xdr:colOff>9525</xdr:colOff>
                    <xdr:row>18</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0" operator="greaterThan" id="{C2DC664F-3D6A-4DF0-BB34-7676F3BCAEFA}">
            <xm:f>Einstellungen!$F$10</xm:f>
            <x14:dxf>
              <font>
                <color rgb="FFFF0000"/>
              </font>
              <fill>
                <patternFill patternType="solid">
                  <bgColor rgb="FFFFFFDD"/>
                </patternFill>
              </fill>
            </x14:dxf>
          </x14:cfRule>
          <xm:sqref>R21:R49</xm:sqref>
        </x14:conditionalFormatting>
        <x14:conditionalFormatting xmlns:xm="http://schemas.microsoft.com/office/excel/2006/main">
          <x14:cfRule type="cellIs" priority="2" operator="greaterThan" id="{5BD3960A-158D-4D46-AFCF-62DB037FB25E}">
            <xm:f>Einstellungen!$F$18</xm:f>
            <x14:dxf>
              <font>
                <color rgb="FFFF0000"/>
              </font>
              <fill>
                <patternFill patternType="solid">
                  <bgColor rgb="FFFFFFDD"/>
                </patternFill>
              </fill>
            </x14:dxf>
          </x14:cfRule>
          <xm:sqref>S21:S49</xm:sqref>
        </x14:conditionalFormatting>
        <x14:conditionalFormatting xmlns:xm="http://schemas.microsoft.com/office/excel/2006/main">
          <x14:cfRule type="cellIs" priority="22" operator="lessThan" id="{7D577732-E957-47A1-8B9A-9F77CAFFD2B3}">
            <xm:f>Einstellungen!$E$13</xm:f>
            <x14:dxf>
              <font>
                <color rgb="FFFF0000"/>
              </font>
              <fill>
                <patternFill>
                  <bgColor rgb="FFFFFFDD"/>
                </patternFill>
              </fill>
            </x14:dxf>
          </x14:cfRule>
          <xm:sqref>U21:U49</xm:sqref>
        </x14:conditionalFormatting>
        <x14:conditionalFormatting xmlns:xm="http://schemas.microsoft.com/office/excel/2006/main">
          <x14:cfRule type="cellIs" priority="18" operator="between" id="{E50EC5B7-3A6B-40C2-8426-8DF9459D9974}">
            <xm:f>"((A26*Einstellungen!$D$19+b26*Einstellungen!$C$19)/b26)*Einstellungen!$E$19"</xm:f>
            <xm:f>((A21*Einstellungen!$D$20+F21*Einstellungen!$C$20)/F21)*Einstellungen!$F$20</xm:f>
            <x14:dxf>
              <font>
                <color rgb="FFFF0000"/>
              </font>
              <fill>
                <patternFill>
                  <bgColor rgb="FFFFFFDD"/>
                </patternFill>
              </fill>
            </x14:dxf>
          </x14:cfRule>
          <xm:sqref>W21:W49</xm:sqref>
        </x14:conditionalFormatting>
        <x14:conditionalFormatting xmlns:xm="http://schemas.microsoft.com/office/excel/2006/main">
          <x14:cfRule type="cellIs" priority="16" operator="between" id="{E7733AA5-5626-4F46-85A3-418D80932D25}">
            <xm:f>"((A26*Einstellungen!$D$20+b26*Einstellungen!$C$20)/b26)*Einstellungen!$E$20"</xm:f>
            <xm:f>((A21*Einstellungen!$D$21+F21*Einstellungen!$C$21)/F21)*Einstellungen!$F$21</xm:f>
            <x14:dxf>
              <font>
                <color rgb="FFFF0000"/>
              </font>
              <fill>
                <patternFill>
                  <bgColor rgb="FFFFFFDD"/>
                </patternFill>
              </fill>
            </x14:dxf>
          </x14:cfRule>
          <xm:sqref>X21:X49</xm:sqref>
        </x14:conditionalFormatting>
        <x14:conditionalFormatting xmlns:xm="http://schemas.microsoft.com/office/excel/2006/main">
          <x14:cfRule type="cellIs" priority="17" operator="between" id="{E2D6DC44-E415-42BB-9058-414B15EF1048}">
            <xm:f>"((A26*Einstellungen!$D$21+b26*Einstellungen!$C$21)/b26)*Einstellungen!$E$21"</xm:f>
            <xm:f>((A21*Einstellungen!$D$22+F21*Einstellungen!$C$22)/F21)*Einstellungen!$F$22</xm:f>
            <x14:dxf>
              <font>
                <color rgb="FFFF0000"/>
              </font>
              <fill>
                <patternFill>
                  <bgColor rgb="FFFFFFDD"/>
                </patternFill>
              </fill>
            </x14:dxf>
          </x14:cfRule>
          <xm:sqref>Y21:Y24 Y26:Y29 Y31:Y34 Y36:Y39 Y41:Y44 Y46:Y49</xm:sqref>
        </x14:conditionalFormatting>
        <x14:conditionalFormatting xmlns:xm="http://schemas.microsoft.com/office/excel/2006/main">
          <x14:cfRule type="cellIs" priority="8" operator="between" id="{255C824E-EBB8-46ED-A420-E964FF56ADB6}">
            <xm:f>"((A26*Einstellungen!$D$19+b26*Einstellungen!$C$19)/b26)*Einstellungen!$E$19"</xm:f>
            <xm:f>((C25*Einstellungen!$D$20+H25*Einstellungen!$C$20)/H25)*Einstellungen!$F$20</xm:f>
            <x14:dxf>
              <font>
                <color rgb="FFFF0000"/>
              </font>
              <fill>
                <patternFill>
                  <bgColor rgb="FFFFFFDD"/>
                </patternFill>
              </fill>
            </x14:dxf>
          </x14:cfRule>
          <xm:sqref>Y25:Z25</xm:sqref>
        </x14:conditionalFormatting>
        <x14:conditionalFormatting xmlns:xm="http://schemas.microsoft.com/office/excel/2006/main">
          <x14:cfRule type="cellIs" priority="7" operator="between" id="{C0FC10A9-3CE4-4865-841E-FA0BDF7AF1E1}">
            <xm:f>"((A26*Einstellungen!$D$20+b26*Einstellungen!$C$20)/b26)*Einstellungen!$E$20"</xm:f>
            <xm:f>((B30*Einstellungen!$D$21+G30*Einstellungen!$C$21)/G30)*Einstellungen!$F$21</xm:f>
            <x14:dxf>
              <font>
                <color rgb="FFFF0000"/>
              </font>
              <fill>
                <patternFill>
                  <bgColor rgb="FFFFFFDD"/>
                </patternFill>
              </fill>
            </x14:dxf>
          </x14:cfRule>
          <xm:sqref>Y30:Z30</xm:sqref>
        </x14:conditionalFormatting>
        <x14:conditionalFormatting xmlns:xm="http://schemas.microsoft.com/office/excel/2006/main">
          <x14:cfRule type="cellIs" priority="6" operator="between" id="{93BD2DAA-E3B3-464D-8208-E0E695B69812}">
            <xm:f>"((A26*Einstellungen!$D$20+b26*Einstellungen!$C$20)/b26)*Einstellungen!$E$20"</xm:f>
            <xm:f>((B35*Einstellungen!$D$21+G35*Einstellungen!$C$21)/G35)*Einstellungen!$F$21</xm:f>
            <x14:dxf>
              <font>
                <color rgb="FFFF0000"/>
              </font>
              <fill>
                <patternFill>
                  <bgColor rgb="FFFFFFDD"/>
                </patternFill>
              </fill>
            </x14:dxf>
          </x14:cfRule>
          <xm:sqref>Y35:Z35</xm:sqref>
        </x14:conditionalFormatting>
        <x14:conditionalFormatting xmlns:xm="http://schemas.microsoft.com/office/excel/2006/main">
          <x14:cfRule type="cellIs" priority="15" operator="between" id="{40D5C4CA-09A9-44C1-A86D-EEB9C499D692}">
            <xm:f>"((A26*Einstellungen!$D$22+b26*Einstellungen!$C$22)/b26)*Einstellungen!$E$22"</xm:f>
            <xm:f>((A21*Einstellungen!$D$23+F21*Einstellungen!$C$23)/F21)*Einstellungen!$F$23</xm:f>
            <x14:dxf>
              <font>
                <color rgb="FFFF0000"/>
              </font>
              <fill>
                <patternFill>
                  <bgColor rgb="FFFFFFDD"/>
                </patternFill>
              </fill>
            </x14:dxf>
          </x14:cfRule>
          <xm:sqref>Z21:Z24 Z26:Z29 Z31:Z34 Z36:Z49</xm:sqref>
        </x14:conditionalFormatting>
        <x14:conditionalFormatting xmlns:xm="http://schemas.microsoft.com/office/excel/2006/main">
          <x14:cfRule type="cellIs" priority="14" operator="between" id="{9B57B85C-89DD-46E2-AE9E-AB9CF2581AA0}">
            <xm:f>"((A26*Einstellungen!$D$23+b26*Einstellungen!$C$23)/b26)*Einstellungen!$E$23"</xm:f>
            <xm:f>((A21*Einstellungen!$D$24+F21*Einstellungen!$C$24)/F21)*Einstellungen!$F$24</xm:f>
            <x14:dxf>
              <font>
                <color rgb="FFFF0000"/>
              </font>
              <fill>
                <patternFill>
                  <bgColor rgb="FFFFFFDD"/>
                </patternFill>
              </fill>
            </x14:dxf>
          </x14:cfRule>
          <xm:sqref>AA21:AA49</xm:sqref>
        </x14:conditionalFormatting>
        <x14:conditionalFormatting xmlns:xm="http://schemas.microsoft.com/office/excel/2006/main">
          <x14:cfRule type="cellIs" priority="13" operator="between" id="{553BC9A6-EE76-4B74-B6EE-CA2B93B4AFA6}">
            <xm:f>"((A26*Einstellungen!$D$24+b26*Einstellungen!$C$24)/b26)*Einstellungen!$E$24"</xm:f>
            <xm:f>((A21*Einstellungen!$D$25+F21*Einstellungen!$C$25)/F21)*Einstellungen!$F$25</xm:f>
            <x14:dxf>
              <font>
                <color rgb="FFFF0000"/>
              </font>
              <fill>
                <patternFill>
                  <bgColor rgb="FFFFFFDD"/>
                </patternFill>
              </fill>
            </x14:dxf>
          </x14:cfRule>
          <xm:sqref>AB21:AB49</xm:sqref>
        </x14:conditionalFormatting>
        <x14:conditionalFormatting xmlns:xm="http://schemas.microsoft.com/office/excel/2006/main">
          <x14:cfRule type="cellIs" priority="9" operator="between" id="{F65117BC-21B6-4FBE-8C97-AE735488AB2E}">
            <xm:f>Einstellungen!$E$30</xm:f>
            <xm:f>Einstellungen!$F$30</xm:f>
            <x14:dxf>
              <font>
                <color theme="1"/>
              </font>
            </x14:dxf>
          </x14:cfRule>
          <xm:sqref>AC21:AD49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dimension ref="A1"/>
  <sheetViews>
    <sheetView workbookViewId="0"/>
  </sheetViews>
  <sheetFormatPr baseColWidth="10" defaultRowHeight="12.75" x14ac:dyDescent="0.2"/>
  <sheetData/>
  <customSheetViews>
    <customSheetView guid="{2DEE39A3-88C5-4D7F-AEB9-0B43FD431165}" state="veryHidden">
      <pageMargins left="0.7" right="0.7" top="0.78740157499999996" bottom="0.78740157499999996" header="0.3" footer="0.3"/>
    </customSheetView>
    <customSheetView guid="{117F828A-4542-4D18-9CDB-B606529AAD66}" state="veryHidden">
      <pageMargins left="0.7" right="0.7" top="0.78740157499999996" bottom="0.78740157499999996" header="0.3" footer="0.3"/>
    </customSheetView>
  </customSheetViews>
  <phoneticPr fontId="0" type="noConversion"/>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tabColor theme="9" tint="-0.249977111117893"/>
    <pageSetUpPr fitToPage="1"/>
  </sheetPr>
  <dimension ref="A1:BJ86"/>
  <sheetViews>
    <sheetView showGridLines="0" showRowColHeaders="0" showZeros="0" zoomScale="80" zoomScaleNormal="80" workbookViewId="0">
      <selection activeCell="AE4" sqref="AE4"/>
    </sheetView>
  </sheetViews>
  <sheetFormatPr baseColWidth="10" defaultColWidth="0" defaultRowHeight="12" outlineLevelCol="1" x14ac:dyDescent="0.2"/>
  <cols>
    <col min="1" max="1" width="1.5703125" style="98" customWidth="1"/>
    <col min="2" max="2" width="12.140625" style="99" customWidth="1"/>
    <col min="3" max="3" width="29.85546875" style="99" customWidth="1"/>
    <col min="4" max="23" width="9.42578125" style="100" hidden="1" customWidth="1" outlineLevel="1"/>
    <col min="24" max="24" width="10.140625" style="100" hidden="1" customWidth="1" outlineLevel="1"/>
    <col min="25" max="29" width="9.42578125" style="100" hidden="1" customWidth="1" outlineLevel="1"/>
    <col min="30" max="30" width="3.140625" style="100" hidden="1" customWidth="1" outlineLevel="1"/>
    <col min="31" max="31" width="12.85546875" style="100" customWidth="1" collapsed="1"/>
    <col min="32" max="39" width="12.85546875" style="100" customWidth="1"/>
    <col min="40" max="40" width="1.140625" style="100" customWidth="1"/>
    <col min="41" max="41" width="27.140625" style="127" customWidth="1"/>
    <col min="42" max="42" width="14.5703125" style="99" bestFit="1" customWidth="1"/>
    <col min="43" max="50" width="12.85546875" style="99" bestFit="1" customWidth="1"/>
    <col min="51" max="51" width="20.140625" style="99" customWidth="1"/>
    <col min="52" max="52" width="12.42578125" style="99" bestFit="1" customWidth="1"/>
    <col min="53" max="60" width="11" style="99" bestFit="1" customWidth="1"/>
    <col min="61" max="61" width="9.7109375" style="99" customWidth="1"/>
    <col min="62" max="62" width="0.5703125" style="99" customWidth="1"/>
    <col min="63" max="16384" width="11.42578125" style="99" hidden="1"/>
  </cols>
  <sheetData>
    <row r="1" spans="1:61" ht="34.5" customHeight="1" thickBot="1" x14ac:dyDescent="0.25">
      <c r="A1" s="1402"/>
      <c r="B1" s="1401"/>
      <c r="C1" s="1401"/>
      <c r="D1" s="1403"/>
      <c r="E1" s="1038"/>
      <c r="F1" s="1038"/>
      <c r="G1" s="1038"/>
      <c r="H1" s="1038"/>
      <c r="I1" s="1038"/>
      <c r="J1" s="1038"/>
      <c r="K1" s="1038"/>
      <c r="L1" s="1038"/>
      <c r="M1" s="1038"/>
      <c r="N1" s="1038"/>
      <c r="O1" s="1038"/>
      <c r="P1" s="1038"/>
      <c r="Q1" s="1038"/>
      <c r="R1" s="1038"/>
      <c r="S1" s="1038"/>
      <c r="T1" s="1038"/>
      <c r="U1" s="1038"/>
      <c r="V1" s="1038"/>
      <c r="W1" s="1038"/>
      <c r="X1" s="1038"/>
      <c r="Y1" s="1038"/>
      <c r="Z1" s="1038"/>
      <c r="AA1" s="1038"/>
      <c r="AB1" s="1038"/>
      <c r="AC1" s="1038"/>
      <c r="AD1" s="1038"/>
      <c r="AE1" s="1038"/>
      <c r="AF1" s="1038"/>
      <c r="AG1" s="1038"/>
      <c r="AH1" s="1038"/>
      <c r="AI1" s="1038"/>
      <c r="AJ1" s="1038"/>
      <c r="AK1" s="1038"/>
      <c r="AL1" s="1038"/>
      <c r="AM1" s="1038"/>
      <c r="AN1" s="1038"/>
      <c r="AO1" s="1039" t="s">
        <v>228</v>
      </c>
      <c r="AP1" s="1400" t="s">
        <v>578</v>
      </c>
      <c r="AQ1" s="1107">
        <f ca="1">TODAY()+1</f>
        <v>46009</v>
      </c>
      <c r="AR1" s="1401"/>
      <c r="AS1" s="1037"/>
      <c r="AT1" s="1037"/>
      <c r="AU1" s="1037"/>
      <c r="AV1" s="1037"/>
      <c r="AW1" s="1037"/>
      <c r="AX1" s="1037"/>
      <c r="AY1" s="1037"/>
      <c r="AZ1" s="1037"/>
      <c r="BA1" s="1037"/>
      <c r="BB1" s="1037"/>
      <c r="BC1" s="1037"/>
      <c r="BD1" s="1037"/>
      <c r="BE1" s="1037"/>
      <c r="BF1" s="1037"/>
      <c r="BG1" s="1037"/>
      <c r="BH1" s="1037"/>
      <c r="BI1" s="1037"/>
    </row>
    <row r="2" spans="1:61" ht="41.45" customHeight="1" thickTop="1" thickBot="1" x14ac:dyDescent="0.25">
      <c r="A2" s="1402"/>
      <c r="B2" s="1475"/>
      <c r="C2" s="1476"/>
      <c r="D2" s="1380" t="s">
        <v>539</v>
      </c>
      <c r="E2" s="1380" t="str">
        <f>Futterwerte!C6</f>
        <v>TM</v>
      </c>
      <c r="F2" s="1380" t="str">
        <f>Futterwerte!D6</f>
        <v>NEL</v>
      </c>
      <c r="G2" s="1380" t="str">
        <f>Futterwerte!E6</f>
        <v>ME</v>
      </c>
      <c r="H2" s="1380" t="str">
        <f>Futterwerte!F6</f>
        <v>XP</v>
      </c>
      <c r="I2" s="1380" t="str">
        <f>Futterwerte!G6</f>
        <v>UDP</v>
      </c>
      <c r="J2" s="1380" t="str">
        <f>Futterwerte!H6</f>
        <v>nXP</v>
      </c>
      <c r="K2" s="1380" t="str">
        <f>Futterwerte!I6</f>
        <v>RNB</v>
      </c>
      <c r="L2" s="1381">
        <f>Futterwerte!J6</f>
        <v>0</v>
      </c>
      <c r="M2" s="1380" t="str">
        <f>Futterwerte!K6</f>
        <v>ADF</v>
      </c>
      <c r="N2" s="1380" t="str">
        <f>Futterwerte!L6</f>
        <v>aNDFom</v>
      </c>
      <c r="O2" s="1380" t="s">
        <v>540</v>
      </c>
      <c r="P2" s="1380" t="str">
        <f>Futterwerte!M6</f>
        <v>NFC</v>
      </c>
      <c r="Q2" s="1380" t="str">
        <f>Futterwerte!N6</f>
        <v>XS</v>
      </c>
      <c r="R2" s="1380" t="str">
        <f>Futterwerte!O6</f>
        <v>bXS</v>
      </c>
      <c r="S2" s="1380" t="str">
        <f>Futterwerte!P6</f>
        <v>XZ</v>
      </c>
      <c r="T2" s="1380" t="str">
        <f>Futterwerte!Q6</f>
        <v>XS+XZ-bXS</v>
      </c>
      <c r="U2" s="1380" t="str">
        <f>Futterwerte!R6</f>
        <v>XL</v>
      </c>
      <c r="V2" s="1380" t="str">
        <f>Futterwerte!U6</f>
        <v>XA</v>
      </c>
      <c r="W2" s="1380" t="str">
        <f>Futterwerte!V6</f>
        <v>Ca</v>
      </c>
      <c r="X2" s="1380" t="str">
        <f>Futterwerte!W6</f>
        <v>P</v>
      </c>
      <c r="Y2" s="1380" t="str">
        <f>Futterwerte!X6</f>
        <v>Na</v>
      </c>
      <c r="Z2" s="1380" t="str">
        <f>Futterwerte!Y6</f>
        <v>Mg</v>
      </c>
      <c r="AA2" s="1380" t="str">
        <f>Futterwerte!Z6</f>
        <v>K</v>
      </c>
      <c r="AB2" s="1380" t="str">
        <f>Futterwerte!AA6</f>
        <v>Se</v>
      </c>
      <c r="AC2" s="1380" t="str">
        <f>Futterwerte!AB6</f>
        <v>DCAB</v>
      </c>
      <c r="AD2" s="1380" t="str">
        <f>Futterwerte!AC6</f>
        <v>Kosten</v>
      </c>
      <c r="AE2" s="101" t="s">
        <v>398</v>
      </c>
      <c r="AF2" s="290" t="s">
        <v>399</v>
      </c>
      <c r="AG2" s="290" t="s">
        <v>399</v>
      </c>
      <c r="AH2" s="290" t="s">
        <v>400</v>
      </c>
      <c r="AI2" s="290" t="s">
        <v>401</v>
      </c>
      <c r="AJ2" s="290" t="s">
        <v>402</v>
      </c>
      <c r="AK2" s="290" t="s">
        <v>403</v>
      </c>
      <c r="AL2" s="290" t="s">
        <v>404</v>
      </c>
      <c r="AM2" s="291" t="s">
        <v>405</v>
      </c>
      <c r="AN2" s="1038"/>
      <c r="AO2" s="1040"/>
      <c r="AP2" s="1041" t="str">
        <f t="shared" ref="AP2:AX2" si="0">AE2</f>
        <v>Mischung 1</v>
      </c>
      <c r="AQ2" s="1041" t="str">
        <f t="shared" si="0"/>
        <v>Mischung 2</v>
      </c>
      <c r="AR2" s="1041" t="str">
        <f t="shared" si="0"/>
        <v>Mischung 2</v>
      </c>
      <c r="AS2" s="1041" t="str">
        <f t="shared" si="0"/>
        <v>Mischung 4</v>
      </c>
      <c r="AT2" s="1041" t="str">
        <f t="shared" si="0"/>
        <v>Mischung 5</v>
      </c>
      <c r="AU2" s="1041" t="str">
        <f t="shared" si="0"/>
        <v>Mischung 6</v>
      </c>
      <c r="AV2" s="1041" t="str">
        <f t="shared" si="0"/>
        <v>Mischung 7</v>
      </c>
      <c r="AW2" s="1041" t="str">
        <f t="shared" si="0"/>
        <v>Mischung 8</v>
      </c>
      <c r="AX2" s="1042" t="str">
        <f t="shared" si="0"/>
        <v>Mischung 9</v>
      </c>
      <c r="AY2" s="1043"/>
      <c r="AZ2" s="1479" t="str">
        <f>AP2</f>
        <v>Mischung 1</v>
      </c>
      <c r="BA2" s="1481" t="str">
        <f t="shared" ref="BA2:BF2" si="1">AQ2</f>
        <v>Mischung 2</v>
      </c>
      <c r="BB2" s="1481" t="str">
        <f t="shared" si="1"/>
        <v>Mischung 2</v>
      </c>
      <c r="BC2" s="1481" t="str">
        <f t="shared" si="1"/>
        <v>Mischung 4</v>
      </c>
      <c r="BD2" s="1481" t="str">
        <f t="shared" si="1"/>
        <v>Mischung 5</v>
      </c>
      <c r="BE2" s="1481" t="str">
        <f t="shared" si="1"/>
        <v>Mischung 6</v>
      </c>
      <c r="BF2" s="1481" t="str">
        <f t="shared" si="1"/>
        <v>Mischung 7</v>
      </c>
      <c r="BG2" s="1481" t="str">
        <f>AW2</f>
        <v>Mischung 8</v>
      </c>
      <c r="BH2" s="1483" t="str">
        <f>AX2</f>
        <v>Mischung 9</v>
      </c>
      <c r="BI2" s="1473" t="s">
        <v>213</v>
      </c>
    </row>
    <row r="3" spans="1:61" ht="20.25" customHeight="1" thickBot="1" x14ac:dyDescent="0.25">
      <c r="A3" s="1402"/>
      <c r="B3" s="1477" t="s">
        <v>201</v>
      </c>
      <c r="C3" s="1478"/>
      <c r="D3" s="1382"/>
      <c r="E3" s="1382"/>
      <c r="F3" s="1382"/>
      <c r="G3" s="1382"/>
      <c r="H3" s="1382"/>
      <c r="I3" s="1382"/>
      <c r="J3" s="1382"/>
      <c r="K3" s="1382"/>
      <c r="L3" s="1382"/>
      <c r="M3" s="1382"/>
      <c r="N3" s="1382"/>
      <c r="O3" s="1382"/>
      <c r="P3" s="1382"/>
      <c r="Q3" s="1382"/>
      <c r="R3" s="1382"/>
      <c r="S3" s="1382"/>
      <c r="T3" s="1382"/>
      <c r="U3" s="1382"/>
      <c r="V3" s="1382"/>
      <c r="W3" s="1382"/>
      <c r="X3" s="1382"/>
      <c r="Y3" s="1382"/>
      <c r="Z3" s="1382"/>
      <c r="AA3" s="1382"/>
      <c r="AB3" s="1382"/>
      <c r="AC3" s="1382"/>
      <c r="AD3" s="1382"/>
      <c r="AE3" s="1383" t="s">
        <v>145</v>
      </c>
      <c r="AF3" s="1384" t="s">
        <v>145</v>
      </c>
      <c r="AG3" s="1384" t="s">
        <v>145</v>
      </c>
      <c r="AH3" s="1384" t="s">
        <v>145</v>
      </c>
      <c r="AI3" s="1384" t="s">
        <v>145</v>
      </c>
      <c r="AJ3" s="1384" t="s">
        <v>145</v>
      </c>
      <c r="AK3" s="1384" t="s">
        <v>145</v>
      </c>
      <c r="AL3" s="1384" t="s">
        <v>145</v>
      </c>
      <c r="AM3" s="1385" t="s">
        <v>145</v>
      </c>
      <c r="AN3" s="1038"/>
      <c r="AO3" s="1044" t="s">
        <v>202</v>
      </c>
      <c r="AP3" s="1045">
        <f t="shared" ref="AP3:AW3" si="2">AE25</f>
        <v>0</v>
      </c>
      <c r="AQ3" s="1045">
        <f t="shared" si="2"/>
        <v>0</v>
      </c>
      <c r="AR3" s="1045">
        <f t="shared" si="2"/>
        <v>0</v>
      </c>
      <c r="AS3" s="1045">
        <f t="shared" si="2"/>
        <v>0</v>
      </c>
      <c r="AT3" s="1045">
        <f t="shared" si="2"/>
        <v>0</v>
      </c>
      <c r="AU3" s="1045">
        <f t="shared" si="2"/>
        <v>0</v>
      </c>
      <c r="AV3" s="1045">
        <f t="shared" si="2"/>
        <v>0</v>
      </c>
      <c r="AW3" s="1045">
        <f t="shared" si="2"/>
        <v>0</v>
      </c>
      <c r="AX3" s="1046">
        <f>AM25</f>
        <v>0</v>
      </c>
      <c r="AY3" s="1047"/>
      <c r="AZ3" s="1480"/>
      <c r="BA3" s="1482"/>
      <c r="BB3" s="1482"/>
      <c r="BC3" s="1482"/>
      <c r="BD3" s="1482"/>
      <c r="BE3" s="1482"/>
      <c r="BF3" s="1482"/>
      <c r="BG3" s="1482"/>
      <c r="BH3" s="1484"/>
      <c r="BI3" s="1474"/>
    </row>
    <row r="4" spans="1:61" ht="20.25" customHeight="1" x14ac:dyDescent="0.2">
      <c r="A4" s="1402">
        <v>3</v>
      </c>
      <c r="B4" s="1103">
        <f t="shared" ref="B4:B23" si="3">INDEX(Tabelle,$A4,2)</f>
        <v>0</v>
      </c>
      <c r="C4" s="1104"/>
      <c r="D4" s="1386">
        <f t="shared" ref="D4:D23" si="4">IF(INDEX(Tabelle,$A4,1)=0,0,INDEX(Tabelle,$A4,1))</f>
        <v>0</v>
      </c>
      <c r="E4" s="1386">
        <f t="shared" ref="E4:E23" si="5">IF(INDEX(Tabelle,$A4,3)=0,0,INDEX(Tabelle,$A4,3)/10)</f>
        <v>0</v>
      </c>
      <c r="F4" s="1386">
        <f t="shared" ref="F4:F23" si="6">INDEX(Tabelle,$A4,4)</f>
        <v>0</v>
      </c>
      <c r="G4" s="1386">
        <f t="shared" ref="G4:G23" si="7">INDEX(Tabelle,$A4,5)</f>
        <v>0</v>
      </c>
      <c r="H4" s="1387">
        <f t="shared" ref="H4:H23" si="8">INDEX(Tabelle,$A4,6)</f>
        <v>0</v>
      </c>
      <c r="I4" s="1388">
        <f t="shared" ref="I4:I23" si="9">INDEX(Tabelle,$A4,7)</f>
        <v>0</v>
      </c>
      <c r="J4" s="1387">
        <f t="shared" ref="J4:J23" si="10">INDEX(Tabelle,$A4,8)</f>
        <v>0</v>
      </c>
      <c r="K4" s="1386">
        <f t="shared" ref="K4:K23" si="11">INDEX(Tabelle,$A4,9)</f>
        <v>0</v>
      </c>
      <c r="L4" s="1389">
        <f t="shared" ref="L4:L23" si="12">INDEX(Tabelle,$A4,7)</f>
        <v>0</v>
      </c>
      <c r="M4" s="1386">
        <f t="shared" ref="M4:M23" si="13">INDEX(Tabelle,$A4,11)</f>
        <v>0</v>
      </c>
      <c r="N4" s="1387">
        <f t="shared" ref="N4:N23" si="14">INDEX(Tabelle,$A4,12)</f>
        <v>0</v>
      </c>
      <c r="O4" s="1387">
        <f>IF(D4="G",N4,0)</f>
        <v>0</v>
      </c>
      <c r="P4" s="1387">
        <f t="shared" ref="P4:P23" si="15">INDEX(Tabelle,$A4,13)</f>
        <v>0</v>
      </c>
      <c r="Q4" s="1387">
        <f t="shared" ref="Q4:Q23" si="16">INDEX(Tabelle,$A4,14)</f>
        <v>0</v>
      </c>
      <c r="R4" s="1390">
        <f>INDEX(Tabelle,$A4,15)</f>
        <v>0</v>
      </c>
      <c r="S4" s="1387">
        <f t="shared" ref="S4:S23" si="17">INDEX(Tabelle,$A4,16)</f>
        <v>0</v>
      </c>
      <c r="T4" s="1387">
        <f t="shared" ref="T4:T23" si="18">INDEX(Tabelle,$A4,17)</f>
        <v>0</v>
      </c>
      <c r="U4" s="1386">
        <f t="shared" ref="U4:U23" si="19">INDEX(Tabelle,$A4,18)</f>
        <v>0</v>
      </c>
      <c r="V4" s="1387">
        <f t="shared" ref="V4:V23" si="20">INDEX(Tabelle,$A4,21)</f>
        <v>0</v>
      </c>
      <c r="W4" s="1386">
        <f t="shared" ref="W4:W23" si="21">INDEX(Tabelle,$A4,22)</f>
        <v>0</v>
      </c>
      <c r="X4" s="1386">
        <f t="shared" ref="X4:X23" si="22">INDEX(Tabelle,$A4,23)</f>
        <v>0</v>
      </c>
      <c r="Y4" s="1386">
        <f t="shared" ref="Y4:Y23" si="23">INDEX(Tabelle,$A4,24)</f>
        <v>0</v>
      </c>
      <c r="Z4" s="1386">
        <f t="shared" ref="Z4:Z23" si="24">INDEX(Tabelle,$A4,25)</f>
        <v>0</v>
      </c>
      <c r="AA4" s="1391">
        <f t="shared" ref="AA4:AA23" si="25">INDEX(Tabelle,$A4,26)</f>
        <v>0</v>
      </c>
      <c r="AB4" s="1391">
        <f t="shared" ref="AB4:AB23" si="26">INDEX(Tabelle,$A4,27)</f>
        <v>0</v>
      </c>
      <c r="AC4" s="1391">
        <f t="shared" ref="AC4:AC23" si="27">INDEX(Tabelle,$A4,28)</f>
        <v>0</v>
      </c>
      <c r="AD4" s="1392" t="e">
        <f t="shared" ref="AD4:AD21" si="28">INDEX(Tabelle,$A4,29)/E4</f>
        <v>#DIV/0!</v>
      </c>
      <c r="AE4" s="288"/>
      <c r="AF4" s="285"/>
      <c r="AG4" s="285"/>
      <c r="AH4" s="285"/>
      <c r="AI4" s="285"/>
      <c r="AJ4" s="285"/>
      <c r="AK4" s="285"/>
      <c r="AL4" s="289"/>
      <c r="AM4" s="114"/>
      <c r="AN4" s="1038"/>
      <c r="AO4" s="319">
        <f t="shared" ref="AO4:AO24" si="29">B4</f>
        <v>0</v>
      </c>
      <c r="AP4" s="320">
        <f>IF(AE4=0,0,IF(AE$3="TM",AE4/$E4*100,AE4))</f>
        <v>0</v>
      </c>
      <c r="AQ4" s="320">
        <f t="shared" ref="AQ4:AX11" si="30">IF(AF4=0,0,IF(AF$3="TM",AF4/$E4*100,AF4))</f>
        <v>0</v>
      </c>
      <c r="AR4" s="320">
        <f t="shared" si="30"/>
        <v>0</v>
      </c>
      <c r="AS4" s="320">
        <f t="shared" si="30"/>
        <v>0</v>
      </c>
      <c r="AT4" s="320">
        <f t="shared" si="30"/>
        <v>0</v>
      </c>
      <c r="AU4" s="320">
        <f t="shared" si="30"/>
        <v>0</v>
      </c>
      <c r="AV4" s="320">
        <f t="shared" si="30"/>
        <v>0</v>
      </c>
      <c r="AW4" s="320">
        <f t="shared" si="30"/>
        <v>0</v>
      </c>
      <c r="AX4" s="321">
        <f t="shared" si="30"/>
        <v>0</v>
      </c>
      <c r="AY4" s="1047"/>
      <c r="AZ4" s="106">
        <f>AP$3*AP4</f>
        <v>0</v>
      </c>
      <c r="BA4" s="107">
        <f t="shared" ref="BA4:BH4" si="31">AQ$3*AQ4</f>
        <v>0</v>
      </c>
      <c r="BB4" s="107">
        <f t="shared" si="31"/>
        <v>0</v>
      </c>
      <c r="BC4" s="107">
        <f t="shared" si="31"/>
        <v>0</v>
      </c>
      <c r="BD4" s="107">
        <f t="shared" si="31"/>
        <v>0</v>
      </c>
      <c r="BE4" s="107">
        <f t="shared" si="31"/>
        <v>0</v>
      </c>
      <c r="BF4" s="107">
        <f t="shared" si="31"/>
        <v>0</v>
      </c>
      <c r="BG4" s="107">
        <f t="shared" si="31"/>
        <v>0</v>
      </c>
      <c r="BH4" s="108">
        <f t="shared" si="31"/>
        <v>0</v>
      </c>
      <c r="BI4" s="109">
        <f>SUM(AZ4:BH4)</f>
        <v>0</v>
      </c>
    </row>
    <row r="5" spans="1:61" ht="20.25" customHeight="1" x14ac:dyDescent="0.2">
      <c r="A5" s="1402">
        <v>11</v>
      </c>
      <c r="B5" s="1103">
        <f t="shared" si="3"/>
        <v>0</v>
      </c>
      <c r="C5" s="1105"/>
      <c r="D5" s="1386">
        <f t="shared" si="4"/>
        <v>0</v>
      </c>
      <c r="E5" s="1386">
        <f t="shared" si="5"/>
        <v>0</v>
      </c>
      <c r="F5" s="1386">
        <f t="shared" si="6"/>
        <v>0</v>
      </c>
      <c r="G5" s="1386">
        <f t="shared" si="7"/>
        <v>0</v>
      </c>
      <c r="H5" s="1387">
        <f t="shared" si="8"/>
        <v>0</v>
      </c>
      <c r="I5" s="1388">
        <f t="shared" si="9"/>
        <v>0</v>
      </c>
      <c r="J5" s="1387">
        <f t="shared" si="10"/>
        <v>0</v>
      </c>
      <c r="K5" s="1386">
        <f t="shared" si="11"/>
        <v>0</v>
      </c>
      <c r="L5" s="1389">
        <f t="shared" si="12"/>
        <v>0</v>
      </c>
      <c r="M5" s="1386">
        <f t="shared" si="13"/>
        <v>0</v>
      </c>
      <c r="N5" s="1387">
        <f t="shared" si="14"/>
        <v>0</v>
      </c>
      <c r="O5" s="1387">
        <f t="shared" ref="O5:O23" si="32">IF(D5="G",N5,0)</f>
        <v>0</v>
      </c>
      <c r="P5" s="1387">
        <f t="shared" si="15"/>
        <v>0</v>
      </c>
      <c r="Q5" s="1387">
        <f t="shared" si="16"/>
        <v>0</v>
      </c>
      <c r="R5" s="1390">
        <f t="shared" ref="R5:R23" si="33">INDEX(Tabelle,$A5,15)</f>
        <v>0</v>
      </c>
      <c r="S5" s="1387">
        <f t="shared" si="17"/>
        <v>0</v>
      </c>
      <c r="T5" s="1387">
        <f t="shared" si="18"/>
        <v>0</v>
      </c>
      <c r="U5" s="1386">
        <f t="shared" si="19"/>
        <v>0</v>
      </c>
      <c r="V5" s="1387">
        <f t="shared" si="20"/>
        <v>0</v>
      </c>
      <c r="W5" s="1386">
        <f t="shared" si="21"/>
        <v>0</v>
      </c>
      <c r="X5" s="1386">
        <f t="shared" si="22"/>
        <v>0</v>
      </c>
      <c r="Y5" s="1386">
        <f t="shared" si="23"/>
        <v>0</v>
      </c>
      <c r="Z5" s="1386">
        <f t="shared" si="24"/>
        <v>0</v>
      </c>
      <c r="AA5" s="1391">
        <f t="shared" si="25"/>
        <v>0</v>
      </c>
      <c r="AB5" s="1391">
        <f t="shared" si="26"/>
        <v>0</v>
      </c>
      <c r="AC5" s="1391">
        <f t="shared" si="27"/>
        <v>0</v>
      </c>
      <c r="AD5" s="1392" t="e">
        <f t="shared" si="28"/>
        <v>#DIV/0!</v>
      </c>
      <c r="AE5" s="283"/>
      <c r="AF5" s="284"/>
      <c r="AG5" s="284"/>
      <c r="AH5" s="284"/>
      <c r="AI5" s="284"/>
      <c r="AJ5" s="284"/>
      <c r="AK5" s="284"/>
      <c r="AL5" s="103"/>
      <c r="AM5" s="104"/>
      <c r="AN5" s="1038"/>
      <c r="AO5" s="322">
        <f t="shared" si="29"/>
        <v>0</v>
      </c>
      <c r="AP5" s="105">
        <f t="shared" ref="AP5:AP11" si="34">IF(AE5=0,0,IF(AE$3="TM",AE5/$E5*100,AE5))</f>
        <v>0</v>
      </c>
      <c r="AQ5" s="105">
        <f t="shared" si="30"/>
        <v>0</v>
      </c>
      <c r="AR5" s="105">
        <f t="shared" si="30"/>
        <v>0</v>
      </c>
      <c r="AS5" s="105">
        <f t="shared" si="30"/>
        <v>0</v>
      </c>
      <c r="AT5" s="105">
        <f t="shared" si="30"/>
        <v>0</v>
      </c>
      <c r="AU5" s="105">
        <f t="shared" si="30"/>
        <v>0</v>
      </c>
      <c r="AV5" s="105">
        <f t="shared" si="30"/>
        <v>0</v>
      </c>
      <c r="AW5" s="105">
        <f t="shared" si="30"/>
        <v>0</v>
      </c>
      <c r="AX5" s="323">
        <f t="shared" si="30"/>
        <v>0</v>
      </c>
      <c r="AY5" s="1047"/>
      <c r="AZ5" s="110">
        <f t="shared" ref="AZ5:AZ24" si="35">AP$3*AP5</f>
        <v>0</v>
      </c>
      <c r="BA5" s="111">
        <f t="shared" ref="BA5:BA24" si="36">AQ$3*AQ5</f>
        <v>0</v>
      </c>
      <c r="BB5" s="111">
        <f t="shared" ref="BB5:BB24" si="37">AR$3*AR5</f>
        <v>0</v>
      </c>
      <c r="BC5" s="111">
        <f t="shared" ref="BC5:BC24" si="38">AS$3*AS5</f>
        <v>0</v>
      </c>
      <c r="BD5" s="111">
        <f t="shared" ref="BD5:BD24" si="39">AT$3*AT5</f>
        <v>0</v>
      </c>
      <c r="BE5" s="111">
        <f t="shared" ref="BE5:BE24" si="40">AU$3*AU5</f>
        <v>0</v>
      </c>
      <c r="BF5" s="111">
        <f t="shared" ref="BF5:BF24" si="41">AV$3*AV5</f>
        <v>0</v>
      </c>
      <c r="BG5" s="111">
        <f t="shared" ref="BG5:BG24" si="42">AW$3*AW5</f>
        <v>0</v>
      </c>
      <c r="BH5" s="112">
        <f t="shared" ref="BH5:BH24" si="43">AX$3*AX5</f>
        <v>0</v>
      </c>
      <c r="BI5" s="113">
        <f t="shared" ref="BI5:BI24" si="44">SUM(AZ5:BH5)</f>
        <v>0</v>
      </c>
    </row>
    <row r="6" spans="1:61" ht="20.25" customHeight="1" x14ac:dyDescent="0.2">
      <c r="A6" s="1402">
        <v>11</v>
      </c>
      <c r="B6" s="1103">
        <f t="shared" si="3"/>
        <v>0</v>
      </c>
      <c r="C6" s="1105"/>
      <c r="D6" s="1386">
        <f t="shared" si="4"/>
        <v>0</v>
      </c>
      <c r="E6" s="1386">
        <f t="shared" si="5"/>
        <v>0</v>
      </c>
      <c r="F6" s="1386">
        <f t="shared" si="6"/>
        <v>0</v>
      </c>
      <c r="G6" s="1386">
        <f t="shared" si="7"/>
        <v>0</v>
      </c>
      <c r="H6" s="1387">
        <f t="shared" si="8"/>
        <v>0</v>
      </c>
      <c r="I6" s="1388">
        <f t="shared" si="9"/>
        <v>0</v>
      </c>
      <c r="J6" s="1387">
        <f t="shared" si="10"/>
        <v>0</v>
      </c>
      <c r="K6" s="1386">
        <f t="shared" si="11"/>
        <v>0</v>
      </c>
      <c r="L6" s="1389">
        <f t="shared" si="12"/>
        <v>0</v>
      </c>
      <c r="M6" s="1386">
        <f t="shared" si="13"/>
        <v>0</v>
      </c>
      <c r="N6" s="1387">
        <f t="shared" si="14"/>
        <v>0</v>
      </c>
      <c r="O6" s="1387">
        <f t="shared" si="32"/>
        <v>0</v>
      </c>
      <c r="P6" s="1387">
        <f t="shared" si="15"/>
        <v>0</v>
      </c>
      <c r="Q6" s="1387">
        <f t="shared" si="16"/>
        <v>0</v>
      </c>
      <c r="R6" s="1390">
        <f t="shared" si="33"/>
        <v>0</v>
      </c>
      <c r="S6" s="1387">
        <f t="shared" si="17"/>
        <v>0</v>
      </c>
      <c r="T6" s="1387">
        <f t="shared" si="18"/>
        <v>0</v>
      </c>
      <c r="U6" s="1386">
        <f t="shared" si="19"/>
        <v>0</v>
      </c>
      <c r="V6" s="1387">
        <f t="shared" si="20"/>
        <v>0</v>
      </c>
      <c r="W6" s="1386">
        <f t="shared" si="21"/>
        <v>0</v>
      </c>
      <c r="X6" s="1386">
        <f t="shared" si="22"/>
        <v>0</v>
      </c>
      <c r="Y6" s="1386">
        <f t="shared" si="23"/>
        <v>0</v>
      </c>
      <c r="Z6" s="1386">
        <f t="shared" si="24"/>
        <v>0</v>
      </c>
      <c r="AA6" s="1391">
        <f t="shared" si="25"/>
        <v>0</v>
      </c>
      <c r="AB6" s="1391">
        <f t="shared" si="26"/>
        <v>0</v>
      </c>
      <c r="AC6" s="1391">
        <f t="shared" si="27"/>
        <v>0</v>
      </c>
      <c r="AD6" s="1392" t="e">
        <f t="shared" si="28"/>
        <v>#DIV/0!</v>
      </c>
      <c r="AE6" s="288"/>
      <c r="AF6" s="285"/>
      <c r="AG6" s="285"/>
      <c r="AH6" s="285"/>
      <c r="AI6" s="285"/>
      <c r="AJ6" s="285"/>
      <c r="AK6" s="285"/>
      <c r="AL6" s="289"/>
      <c r="AM6" s="114"/>
      <c r="AN6" s="1038"/>
      <c r="AO6" s="322">
        <f t="shared" si="29"/>
        <v>0</v>
      </c>
      <c r="AP6" s="105">
        <f t="shared" si="34"/>
        <v>0</v>
      </c>
      <c r="AQ6" s="105">
        <f t="shared" si="30"/>
        <v>0</v>
      </c>
      <c r="AR6" s="105">
        <f t="shared" si="30"/>
        <v>0</v>
      </c>
      <c r="AS6" s="105">
        <f t="shared" si="30"/>
        <v>0</v>
      </c>
      <c r="AT6" s="105">
        <f t="shared" si="30"/>
        <v>0</v>
      </c>
      <c r="AU6" s="105">
        <f t="shared" si="30"/>
        <v>0</v>
      </c>
      <c r="AV6" s="105">
        <f t="shared" si="30"/>
        <v>0</v>
      </c>
      <c r="AW6" s="105">
        <f t="shared" si="30"/>
        <v>0</v>
      </c>
      <c r="AX6" s="323">
        <f t="shared" si="30"/>
        <v>0</v>
      </c>
      <c r="AY6" s="1047"/>
      <c r="AZ6" s="110">
        <f t="shared" si="35"/>
        <v>0</v>
      </c>
      <c r="BA6" s="111">
        <f t="shared" si="36"/>
        <v>0</v>
      </c>
      <c r="BB6" s="111">
        <f t="shared" si="37"/>
        <v>0</v>
      </c>
      <c r="BC6" s="111">
        <f t="shared" si="38"/>
        <v>0</v>
      </c>
      <c r="BD6" s="111">
        <f t="shared" si="39"/>
        <v>0</v>
      </c>
      <c r="BE6" s="111">
        <f t="shared" si="40"/>
        <v>0</v>
      </c>
      <c r="BF6" s="111">
        <f t="shared" si="41"/>
        <v>0</v>
      </c>
      <c r="BG6" s="111">
        <f t="shared" si="42"/>
        <v>0</v>
      </c>
      <c r="BH6" s="112">
        <f t="shared" si="43"/>
        <v>0</v>
      </c>
      <c r="BI6" s="113">
        <f t="shared" si="44"/>
        <v>0</v>
      </c>
    </row>
    <row r="7" spans="1:61" ht="20.25" customHeight="1" x14ac:dyDescent="0.2">
      <c r="A7" s="1402">
        <v>13</v>
      </c>
      <c r="B7" s="1103">
        <f t="shared" si="3"/>
        <v>0</v>
      </c>
      <c r="C7" s="1105"/>
      <c r="D7" s="1386">
        <f t="shared" si="4"/>
        <v>0</v>
      </c>
      <c r="E7" s="1386">
        <f t="shared" si="5"/>
        <v>0</v>
      </c>
      <c r="F7" s="1386">
        <f t="shared" si="6"/>
        <v>0</v>
      </c>
      <c r="G7" s="1386">
        <f t="shared" si="7"/>
        <v>0</v>
      </c>
      <c r="H7" s="1387">
        <f t="shared" si="8"/>
        <v>0</v>
      </c>
      <c r="I7" s="1388">
        <f t="shared" si="9"/>
        <v>0</v>
      </c>
      <c r="J7" s="1387">
        <f t="shared" si="10"/>
        <v>0</v>
      </c>
      <c r="K7" s="1386">
        <f t="shared" si="11"/>
        <v>0</v>
      </c>
      <c r="L7" s="1389">
        <f t="shared" si="12"/>
        <v>0</v>
      </c>
      <c r="M7" s="1386">
        <f t="shared" si="13"/>
        <v>0</v>
      </c>
      <c r="N7" s="1387">
        <f t="shared" si="14"/>
        <v>0</v>
      </c>
      <c r="O7" s="1387">
        <f t="shared" si="32"/>
        <v>0</v>
      </c>
      <c r="P7" s="1387">
        <f t="shared" si="15"/>
        <v>0</v>
      </c>
      <c r="Q7" s="1387">
        <f t="shared" si="16"/>
        <v>0</v>
      </c>
      <c r="R7" s="1390">
        <f t="shared" si="33"/>
        <v>0</v>
      </c>
      <c r="S7" s="1387">
        <f t="shared" si="17"/>
        <v>0</v>
      </c>
      <c r="T7" s="1387">
        <f t="shared" si="18"/>
        <v>0</v>
      </c>
      <c r="U7" s="1386">
        <f t="shared" si="19"/>
        <v>0</v>
      </c>
      <c r="V7" s="1387">
        <f t="shared" si="20"/>
        <v>0</v>
      </c>
      <c r="W7" s="1386">
        <f t="shared" si="21"/>
        <v>0</v>
      </c>
      <c r="X7" s="1386">
        <f t="shared" si="22"/>
        <v>0</v>
      </c>
      <c r="Y7" s="1386">
        <f t="shared" si="23"/>
        <v>0</v>
      </c>
      <c r="Z7" s="1386">
        <f t="shared" si="24"/>
        <v>0</v>
      </c>
      <c r="AA7" s="1391">
        <f t="shared" si="25"/>
        <v>0</v>
      </c>
      <c r="AB7" s="1391">
        <f t="shared" si="26"/>
        <v>0</v>
      </c>
      <c r="AC7" s="1391">
        <f t="shared" si="27"/>
        <v>0</v>
      </c>
      <c r="AD7" s="1392" t="e">
        <f t="shared" si="28"/>
        <v>#DIV/0!</v>
      </c>
      <c r="AE7" s="288"/>
      <c r="AF7" s="285"/>
      <c r="AG7" s="285"/>
      <c r="AH7" s="285"/>
      <c r="AI7" s="285"/>
      <c r="AJ7" s="285"/>
      <c r="AK7" s="285"/>
      <c r="AL7" s="289"/>
      <c r="AM7" s="114"/>
      <c r="AN7" s="1038"/>
      <c r="AO7" s="322">
        <f t="shared" si="29"/>
        <v>0</v>
      </c>
      <c r="AP7" s="105">
        <f t="shared" si="34"/>
        <v>0</v>
      </c>
      <c r="AQ7" s="105">
        <f t="shared" si="30"/>
        <v>0</v>
      </c>
      <c r="AR7" s="105">
        <f t="shared" si="30"/>
        <v>0</v>
      </c>
      <c r="AS7" s="105">
        <f t="shared" si="30"/>
        <v>0</v>
      </c>
      <c r="AT7" s="105">
        <f t="shared" si="30"/>
        <v>0</v>
      </c>
      <c r="AU7" s="105">
        <f t="shared" si="30"/>
        <v>0</v>
      </c>
      <c r="AV7" s="105">
        <f t="shared" si="30"/>
        <v>0</v>
      </c>
      <c r="AW7" s="105">
        <f t="shared" si="30"/>
        <v>0</v>
      </c>
      <c r="AX7" s="323">
        <f t="shared" si="30"/>
        <v>0</v>
      </c>
      <c r="AY7" s="1047"/>
      <c r="AZ7" s="110">
        <f t="shared" si="35"/>
        <v>0</v>
      </c>
      <c r="BA7" s="111">
        <f t="shared" si="36"/>
        <v>0</v>
      </c>
      <c r="BB7" s="111">
        <f t="shared" si="37"/>
        <v>0</v>
      </c>
      <c r="BC7" s="111">
        <f t="shared" si="38"/>
        <v>0</v>
      </c>
      <c r="BD7" s="111">
        <f t="shared" si="39"/>
        <v>0</v>
      </c>
      <c r="BE7" s="111">
        <f t="shared" si="40"/>
        <v>0</v>
      </c>
      <c r="BF7" s="111">
        <f t="shared" si="41"/>
        <v>0</v>
      </c>
      <c r="BG7" s="111">
        <f t="shared" si="42"/>
        <v>0</v>
      </c>
      <c r="BH7" s="112">
        <f t="shared" si="43"/>
        <v>0</v>
      </c>
      <c r="BI7" s="113">
        <f t="shared" si="44"/>
        <v>0</v>
      </c>
    </row>
    <row r="8" spans="1:61" ht="20.25" customHeight="1" x14ac:dyDescent="0.2">
      <c r="A8" s="1402">
        <v>16</v>
      </c>
      <c r="B8" s="1103">
        <f t="shared" si="3"/>
        <v>0</v>
      </c>
      <c r="C8" s="1105"/>
      <c r="D8" s="1386">
        <f t="shared" si="4"/>
        <v>0</v>
      </c>
      <c r="E8" s="1386">
        <f t="shared" si="5"/>
        <v>0</v>
      </c>
      <c r="F8" s="1386">
        <f t="shared" si="6"/>
        <v>0</v>
      </c>
      <c r="G8" s="1386">
        <f t="shared" si="7"/>
        <v>0</v>
      </c>
      <c r="H8" s="1387">
        <f t="shared" si="8"/>
        <v>0</v>
      </c>
      <c r="I8" s="1388">
        <f t="shared" si="9"/>
        <v>0</v>
      </c>
      <c r="J8" s="1387">
        <f t="shared" si="10"/>
        <v>0</v>
      </c>
      <c r="K8" s="1386">
        <f t="shared" si="11"/>
        <v>0</v>
      </c>
      <c r="L8" s="1389">
        <f t="shared" si="12"/>
        <v>0</v>
      </c>
      <c r="M8" s="1386">
        <f t="shared" si="13"/>
        <v>0</v>
      </c>
      <c r="N8" s="1387">
        <f t="shared" si="14"/>
        <v>0</v>
      </c>
      <c r="O8" s="1387">
        <f t="shared" si="32"/>
        <v>0</v>
      </c>
      <c r="P8" s="1387">
        <f t="shared" si="15"/>
        <v>0</v>
      </c>
      <c r="Q8" s="1387">
        <f t="shared" si="16"/>
        <v>0</v>
      </c>
      <c r="R8" s="1390">
        <f t="shared" si="33"/>
        <v>0</v>
      </c>
      <c r="S8" s="1387">
        <f t="shared" si="17"/>
        <v>0</v>
      </c>
      <c r="T8" s="1387">
        <f t="shared" si="18"/>
        <v>0</v>
      </c>
      <c r="U8" s="1386">
        <f t="shared" si="19"/>
        <v>0</v>
      </c>
      <c r="V8" s="1387">
        <f t="shared" si="20"/>
        <v>0</v>
      </c>
      <c r="W8" s="1386">
        <f t="shared" si="21"/>
        <v>0</v>
      </c>
      <c r="X8" s="1386">
        <f t="shared" si="22"/>
        <v>0</v>
      </c>
      <c r="Y8" s="1386">
        <f t="shared" si="23"/>
        <v>0</v>
      </c>
      <c r="Z8" s="1386">
        <f t="shared" si="24"/>
        <v>0</v>
      </c>
      <c r="AA8" s="1391">
        <f t="shared" si="25"/>
        <v>0</v>
      </c>
      <c r="AB8" s="1391">
        <f t="shared" si="26"/>
        <v>0</v>
      </c>
      <c r="AC8" s="1391">
        <f t="shared" si="27"/>
        <v>0</v>
      </c>
      <c r="AD8" s="1392" t="e">
        <f t="shared" si="28"/>
        <v>#DIV/0!</v>
      </c>
      <c r="AE8" s="288"/>
      <c r="AF8" s="285"/>
      <c r="AG8" s="285"/>
      <c r="AH8" s="285"/>
      <c r="AI8" s="285"/>
      <c r="AJ8" s="285"/>
      <c r="AK8" s="285"/>
      <c r="AL8" s="289"/>
      <c r="AM8" s="114"/>
      <c r="AN8" s="1038"/>
      <c r="AO8" s="322">
        <f t="shared" si="29"/>
        <v>0</v>
      </c>
      <c r="AP8" s="105">
        <f t="shared" si="34"/>
        <v>0</v>
      </c>
      <c r="AQ8" s="105">
        <f t="shared" si="30"/>
        <v>0</v>
      </c>
      <c r="AR8" s="105">
        <f t="shared" si="30"/>
        <v>0</v>
      </c>
      <c r="AS8" s="105">
        <f t="shared" si="30"/>
        <v>0</v>
      </c>
      <c r="AT8" s="105">
        <f t="shared" si="30"/>
        <v>0</v>
      </c>
      <c r="AU8" s="105">
        <f t="shared" si="30"/>
        <v>0</v>
      </c>
      <c r="AV8" s="105">
        <f t="shared" si="30"/>
        <v>0</v>
      </c>
      <c r="AW8" s="105">
        <f t="shared" si="30"/>
        <v>0</v>
      </c>
      <c r="AX8" s="323">
        <f t="shared" si="30"/>
        <v>0</v>
      </c>
      <c r="AY8" s="1047"/>
      <c r="AZ8" s="110">
        <f t="shared" si="35"/>
        <v>0</v>
      </c>
      <c r="BA8" s="111">
        <f t="shared" si="36"/>
        <v>0</v>
      </c>
      <c r="BB8" s="111">
        <f t="shared" si="37"/>
        <v>0</v>
      </c>
      <c r="BC8" s="111">
        <f t="shared" si="38"/>
        <v>0</v>
      </c>
      <c r="BD8" s="111">
        <f t="shared" si="39"/>
        <v>0</v>
      </c>
      <c r="BE8" s="111">
        <f t="shared" si="40"/>
        <v>0</v>
      </c>
      <c r="BF8" s="111">
        <f t="shared" si="41"/>
        <v>0</v>
      </c>
      <c r="BG8" s="111">
        <f t="shared" si="42"/>
        <v>0</v>
      </c>
      <c r="BH8" s="112">
        <f t="shared" si="43"/>
        <v>0</v>
      </c>
      <c r="BI8" s="113">
        <f t="shared" si="44"/>
        <v>0</v>
      </c>
    </row>
    <row r="9" spans="1:61" ht="20.25" customHeight="1" x14ac:dyDescent="0.2">
      <c r="A9" s="1402">
        <v>37</v>
      </c>
      <c r="B9" s="1103">
        <f t="shared" si="3"/>
        <v>0</v>
      </c>
      <c r="C9" s="1105"/>
      <c r="D9" s="1386">
        <f t="shared" si="4"/>
        <v>0</v>
      </c>
      <c r="E9" s="1386">
        <f t="shared" si="5"/>
        <v>0</v>
      </c>
      <c r="F9" s="1386">
        <f t="shared" si="6"/>
        <v>0</v>
      </c>
      <c r="G9" s="1386">
        <f t="shared" si="7"/>
        <v>0</v>
      </c>
      <c r="H9" s="1387">
        <f t="shared" si="8"/>
        <v>0</v>
      </c>
      <c r="I9" s="1388">
        <f t="shared" si="9"/>
        <v>0</v>
      </c>
      <c r="J9" s="1387">
        <f t="shared" si="10"/>
        <v>0</v>
      </c>
      <c r="K9" s="1386">
        <f t="shared" si="11"/>
        <v>0</v>
      </c>
      <c r="L9" s="1389">
        <f t="shared" si="12"/>
        <v>0</v>
      </c>
      <c r="M9" s="1386">
        <f t="shared" si="13"/>
        <v>0</v>
      </c>
      <c r="N9" s="1387">
        <f t="shared" si="14"/>
        <v>0</v>
      </c>
      <c r="O9" s="1387">
        <f t="shared" si="32"/>
        <v>0</v>
      </c>
      <c r="P9" s="1387">
        <f t="shared" si="15"/>
        <v>0</v>
      </c>
      <c r="Q9" s="1387">
        <f t="shared" si="16"/>
        <v>0</v>
      </c>
      <c r="R9" s="1390">
        <f t="shared" si="33"/>
        <v>0</v>
      </c>
      <c r="S9" s="1387">
        <f t="shared" si="17"/>
        <v>0</v>
      </c>
      <c r="T9" s="1387">
        <f t="shared" si="18"/>
        <v>0</v>
      </c>
      <c r="U9" s="1386">
        <f t="shared" si="19"/>
        <v>0</v>
      </c>
      <c r="V9" s="1387">
        <f t="shared" si="20"/>
        <v>0</v>
      </c>
      <c r="W9" s="1386">
        <f t="shared" si="21"/>
        <v>0</v>
      </c>
      <c r="X9" s="1386">
        <f t="shared" si="22"/>
        <v>0</v>
      </c>
      <c r="Y9" s="1386">
        <f t="shared" si="23"/>
        <v>0</v>
      </c>
      <c r="Z9" s="1386">
        <f t="shared" si="24"/>
        <v>0</v>
      </c>
      <c r="AA9" s="1391">
        <f t="shared" si="25"/>
        <v>0</v>
      </c>
      <c r="AB9" s="1391">
        <f t="shared" si="26"/>
        <v>0</v>
      </c>
      <c r="AC9" s="1391">
        <f t="shared" si="27"/>
        <v>0</v>
      </c>
      <c r="AD9" s="1392" t="e">
        <f t="shared" si="28"/>
        <v>#DIV/0!</v>
      </c>
      <c r="AE9" s="283"/>
      <c r="AF9" s="284"/>
      <c r="AG9" s="284"/>
      <c r="AH9" s="284"/>
      <c r="AI9" s="284"/>
      <c r="AJ9" s="284"/>
      <c r="AK9" s="284"/>
      <c r="AL9" s="103"/>
      <c r="AM9" s="104"/>
      <c r="AN9" s="1038"/>
      <c r="AO9" s="322">
        <f t="shared" si="29"/>
        <v>0</v>
      </c>
      <c r="AP9" s="105">
        <f t="shared" si="34"/>
        <v>0</v>
      </c>
      <c r="AQ9" s="105">
        <f t="shared" si="30"/>
        <v>0</v>
      </c>
      <c r="AR9" s="105">
        <f t="shared" si="30"/>
        <v>0</v>
      </c>
      <c r="AS9" s="105">
        <f t="shared" si="30"/>
        <v>0</v>
      </c>
      <c r="AT9" s="105">
        <f t="shared" si="30"/>
        <v>0</v>
      </c>
      <c r="AU9" s="105">
        <f t="shared" si="30"/>
        <v>0</v>
      </c>
      <c r="AV9" s="105">
        <f t="shared" si="30"/>
        <v>0</v>
      </c>
      <c r="AW9" s="105">
        <f t="shared" si="30"/>
        <v>0</v>
      </c>
      <c r="AX9" s="323">
        <f t="shared" si="30"/>
        <v>0</v>
      </c>
      <c r="AY9" s="1047"/>
      <c r="AZ9" s="110">
        <f t="shared" si="35"/>
        <v>0</v>
      </c>
      <c r="BA9" s="111">
        <f t="shared" si="36"/>
        <v>0</v>
      </c>
      <c r="BB9" s="111">
        <f t="shared" si="37"/>
        <v>0</v>
      </c>
      <c r="BC9" s="111">
        <f t="shared" si="38"/>
        <v>0</v>
      </c>
      <c r="BD9" s="111">
        <f t="shared" si="39"/>
        <v>0</v>
      </c>
      <c r="BE9" s="111">
        <f t="shared" si="40"/>
        <v>0</v>
      </c>
      <c r="BF9" s="111">
        <f t="shared" si="41"/>
        <v>0</v>
      </c>
      <c r="BG9" s="111">
        <f t="shared" si="42"/>
        <v>0</v>
      </c>
      <c r="BH9" s="112">
        <f t="shared" si="43"/>
        <v>0</v>
      </c>
      <c r="BI9" s="113">
        <f t="shared" si="44"/>
        <v>0</v>
      </c>
    </row>
    <row r="10" spans="1:61" ht="20.25" customHeight="1" x14ac:dyDescent="0.2">
      <c r="A10" s="1402">
        <v>255</v>
      </c>
      <c r="B10" s="1103">
        <f t="shared" si="3"/>
        <v>0</v>
      </c>
      <c r="C10" s="1105"/>
      <c r="D10" s="1386">
        <f t="shared" si="4"/>
        <v>0</v>
      </c>
      <c r="E10" s="1386">
        <f t="shared" si="5"/>
        <v>0</v>
      </c>
      <c r="F10" s="1386">
        <f t="shared" si="6"/>
        <v>0</v>
      </c>
      <c r="G10" s="1386">
        <f t="shared" si="7"/>
        <v>0</v>
      </c>
      <c r="H10" s="1387">
        <f t="shared" si="8"/>
        <v>0</v>
      </c>
      <c r="I10" s="1388">
        <f t="shared" si="9"/>
        <v>0</v>
      </c>
      <c r="J10" s="1387">
        <f t="shared" si="10"/>
        <v>0</v>
      </c>
      <c r="K10" s="1386">
        <f t="shared" si="11"/>
        <v>0</v>
      </c>
      <c r="L10" s="1389">
        <f t="shared" si="12"/>
        <v>0</v>
      </c>
      <c r="M10" s="1386">
        <f t="shared" si="13"/>
        <v>0</v>
      </c>
      <c r="N10" s="1387">
        <f t="shared" si="14"/>
        <v>0</v>
      </c>
      <c r="O10" s="1387">
        <f t="shared" si="32"/>
        <v>0</v>
      </c>
      <c r="P10" s="1387">
        <f t="shared" si="15"/>
        <v>0</v>
      </c>
      <c r="Q10" s="1387">
        <f t="shared" si="16"/>
        <v>0</v>
      </c>
      <c r="R10" s="1390">
        <f t="shared" si="33"/>
        <v>0</v>
      </c>
      <c r="S10" s="1387">
        <f t="shared" si="17"/>
        <v>0</v>
      </c>
      <c r="T10" s="1387">
        <f t="shared" si="18"/>
        <v>0</v>
      </c>
      <c r="U10" s="1386">
        <f t="shared" si="19"/>
        <v>0</v>
      </c>
      <c r="V10" s="1387">
        <f t="shared" si="20"/>
        <v>0</v>
      </c>
      <c r="W10" s="1386">
        <f t="shared" si="21"/>
        <v>0</v>
      </c>
      <c r="X10" s="1386">
        <f t="shared" si="22"/>
        <v>0</v>
      </c>
      <c r="Y10" s="1386">
        <f t="shared" si="23"/>
        <v>0</v>
      </c>
      <c r="Z10" s="1386">
        <f t="shared" si="24"/>
        <v>0</v>
      </c>
      <c r="AA10" s="1391">
        <f t="shared" si="25"/>
        <v>0</v>
      </c>
      <c r="AB10" s="1391">
        <f t="shared" si="26"/>
        <v>0</v>
      </c>
      <c r="AC10" s="1391">
        <f t="shared" si="27"/>
        <v>0</v>
      </c>
      <c r="AD10" s="1392" t="e">
        <f t="shared" si="28"/>
        <v>#DIV/0!</v>
      </c>
      <c r="AE10" s="283"/>
      <c r="AF10" s="284"/>
      <c r="AG10" s="284"/>
      <c r="AH10" s="284"/>
      <c r="AI10" s="284"/>
      <c r="AJ10" s="284"/>
      <c r="AK10" s="284"/>
      <c r="AL10" s="103"/>
      <c r="AM10" s="104"/>
      <c r="AN10" s="1038"/>
      <c r="AO10" s="322">
        <f t="shared" si="29"/>
        <v>0</v>
      </c>
      <c r="AP10" s="105">
        <f t="shared" si="34"/>
        <v>0</v>
      </c>
      <c r="AQ10" s="105">
        <f t="shared" si="30"/>
        <v>0</v>
      </c>
      <c r="AR10" s="105">
        <f t="shared" si="30"/>
        <v>0</v>
      </c>
      <c r="AS10" s="105">
        <f t="shared" si="30"/>
        <v>0</v>
      </c>
      <c r="AT10" s="105">
        <f t="shared" si="30"/>
        <v>0</v>
      </c>
      <c r="AU10" s="105">
        <f t="shared" si="30"/>
        <v>0</v>
      </c>
      <c r="AV10" s="105">
        <f t="shared" si="30"/>
        <v>0</v>
      </c>
      <c r="AW10" s="105">
        <f t="shared" si="30"/>
        <v>0</v>
      </c>
      <c r="AX10" s="323">
        <f t="shared" si="30"/>
        <v>0</v>
      </c>
      <c r="AY10" s="1047"/>
      <c r="AZ10" s="110">
        <f t="shared" si="35"/>
        <v>0</v>
      </c>
      <c r="BA10" s="111">
        <f t="shared" si="36"/>
        <v>0</v>
      </c>
      <c r="BB10" s="111">
        <f t="shared" si="37"/>
        <v>0</v>
      </c>
      <c r="BC10" s="111">
        <f t="shared" si="38"/>
        <v>0</v>
      </c>
      <c r="BD10" s="111">
        <f t="shared" si="39"/>
        <v>0</v>
      </c>
      <c r="BE10" s="111">
        <f t="shared" si="40"/>
        <v>0</v>
      </c>
      <c r="BF10" s="111">
        <f t="shared" si="41"/>
        <v>0</v>
      </c>
      <c r="BG10" s="111">
        <f t="shared" si="42"/>
        <v>0</v>
      </c>
      <c r="BH10" s="112">
        <f t="shared" si="43"/>
        <v>0</v>
      </c>
      <c r="BI10" s="113">
        <f t="shared" si="44"/>
        <v>0</v>
      </c>
    </row>
    <row r="11" spans="1:61" ht="20.25" customHeight="1" x14ac:dyDescent="0.2">
      <c r="A11" s="1402">
        <v>37</v>
      </c>
      <c r="B11" s="1103">
        <f t="shared" si="3"/>
        <v>0</v>
      </c>
      <c r="C11" s="1105"/>
      <c r="D11" s="1386">
        <f t="shared" si="4"/>
        <v>0</v>
      </c>
      <c r="E11" s="1386">
        <f t="shared" si="5"/>
        <v>0</v>
      </c>
      <c r="F11" s="1386">
        <f t="shared" si="6"/>
        <v>0</v>
      </c>
      <c r="G11" s="1386">
        <f t="shared" si="7"/>
        <v>0</v>
      </c>
      <c r="H11" s="1387">
        <f t="shared" si="8"/>
        <v>0</v>
      </c>
      <c r="I11" s="1388">
        <f t="shared" si="9"/>
        <v>0</v>
      </c>
      <c r="J11" s="1387">
        <f t="shared" si="10"/>
        <v>0</v>
      </c>
      <c r="K11" s="1386">
        <f t="shared" si="11"/>
        <v>0</v>
      </c>
      <c r="L11" s="1389">
        <f t="shared" si="12"/>
        <v>0</v>
      </c>
      <c r="M11" s="1386">
        <f t="shared" si="13"/>
        <v>0</v>
      </c>
      <c r="N11" s="1387">
        <f t="shared" si="14"/>
        <v>0</v>
      </c>
      <c r="O11" s="1387">
        <f t="shared" si="32"/>
        <v>0</v>
      </c>
      <c r="P11" s="1387">
        <f t="shared" si="15"/>
        <v>0</v>
      </c>
      <c r="Q11" s="1387">
        <f t="shared" si="16"/>
        <v>0</v>
      </c>
      <c r="R11" s="1390">
        <f t="shared" si="33"/>
        <v>0</v>
      </c>
      <c r="S11" s="1387">
        <f t="shared" si="17"/>
        <v>0</v>
      </c>
      <c r="T11" s="1387">
        <f t="shared" si="18"/>
        <v>0</v>
      </c>
      <c r="U11" s="1386">
        <f t="shared" si="19"/>
        <v>0</v>
      </c>
      <c r="V11" s="1387">
        <f t="shared" si="20"/>
        <v>0</v>
      </c>
      <c r="W11" s="1386">
        <f t="shared" si="21"/>
        <v>0</v>
      </c>
      <c r="X11" s="1386">
        <f t="shared" si="22"/>
        <v>0</v>
      </c>
      <c r="Y11" s="1386">
        <f t="shared" si="23"/>
        <v>0</v>
      </c>
      <c r="Z11" s="1386">
        <f t="shared" si="24"/>
        <v>0</v>
      </c>
      <c r="AA11" s="1391">
        <f t="shared" si="25"/>
        <v>0</v>
      </c>
      <c r="AB11" s="1391">
        <f t="shared" si="26"/>
        <v>0</v>
      </c>
      <c r="AC11" s="1391">
        <f t="shared" si="27"/>
        <v>0</v>
      </c>
      <c r="AD11" s="1392" t="e">
        <f t="shared" si="28"/>
        <v>#DIV/0!</v>
      </c>
      <c r="AE11" s="283"/>
      <c r="AF11" s="284"/>
      <c r="AG11" s="284"/>
      <c r="AH11" s="284"/>
      <c r="AI11" s="284"/>
      <c r="AJ11" s="284"/>
      <c r="AK11" s="284"/>
      <c r="AL11" s="103"/>
      <c r="AM11" s="104"/>
      <c r="AN11" s="1038"/>
      <c r="AO11" s="322">
        <f t="shared" si="29"/>
        <v>0</v>
      </c>
      <c r="AP11" s="105">
        <f t="shared" si="34"/>
        <v>0</v>
      </c>
      <c r="AQ11" s="105">
        <f t="shared" si="30"/>
        <v>0</v>
      </c>
      <c r="AR11" s="105">
        <f t="shared" si="30"/>
        <v>0</v>
      </c>
      <c r="AS11" s="105">
        <f t="shared" si="30"/>
        <v>0</v>
      </c>
      <c r="AT11" s="105">
        <f t="shared" si="30"/>
        <v>0</v>
      </c>
      <c r="AU11" s="105">
        <f t="shared" si="30"/>
        <v>0</v>
      </c>
      <c r="AV11" s="105">
        <f t="shared" si="30"/>
        <v>0</v>
      </c>
      <c r="AW11" s="105">
        <f t="shared" si="30"/>
        <v>0</v>
      </c>
      <c r="AX11" s="323">
        <f t="shared" si="30"/>
        <v>0</v>
      </c>
      <c r="AY11" s="1047"/>
      <c r="AZ11" s="110">
        <f t="shared" si="35"/>
        <v>0</v>
      </c>
      <c r="BA11" s="111">
        <f t="shared" si="36"/>
        <v>0</v>
      </c>
      <c r="BB11" s="111">
        <f t="shared" si="37"/>
        <v>0</v>
      </c>
      <c r="BC11" s="111">
        <f t="shared" si="38"/>
        <v>0</v>
      </c>
      <c r="BD11" s="111">
        <f t="shared" si="39"/>
        <v>0</v>
      </c>
      <c r="BE11" s="111">
        <f t="shared" si="40"/>
        <v>0</v>
      </c>
      <c r="BF11" s="111">
        <f t="shared" si="41"/>
        <v>0</v>
      </c>
      <c r="BG11" s="111">
        <f t="shared" si="42"/>
        <v>0</v>
      </c>
      <c r="BH11" s="112">
        <f t="shared" si="43"/>
        <v>0</v>
      </c>
      <c r="BI11" s="113">
        <f t="shared" si="44"/>
        <v>0</v>
      </c>
    </row>
    <row r="12" spans="1:61" ht="20.25" customHeight="1" x14ac:dyDescent="0.2">
      <c r="A12" s="1402">
        <v>10</v>
      </c>
      <c r="B12" s="1103">
        <f t="shared" si="3"/>
        <v>0</v>
      </c>
      <c r="C12" s="1105"/>
      <c r="D12" s="1386">
        <f t="shared" si="4"/>
        <v>0</v>
      </c>
      <c r="E12" s="1386">
        <f t="shared" si="5"/>
        <v>0</v>
      </c>
      <c r="F12" s="1386">
        <f t="shared" si="6"/>
        <v>0</v>
      </c>
      <c r="G12" s="1386">
        <f t="shared" si="7"/>
        <v>0</v>
      </c>
      <c r="H12" s="1387">
        <f t="shared" si="8"/>
        <v>0</v>
      </c>
      <c r="I12" s="1388">
        <f t="shared" si="9"/>
        <v>0</v>
      </c>
      <c r="J12" s="1387">
        <f t="shared" si="10"/>
        <v>0</v>
      </c>
      <c r="K12" s="1386">
        <f t="shared" si="11"/>
        <v>0</v>
      </c>
      <c r="L12" s="1389">
        <f t="shared" si="12"/>
        <v>0</v>
      </c>
      <c r="M12" s="1386">
        <f t="shared" si="13"/>
        <v>0</v>
      </c>
      <c r="N12" s="1387">
        <f t="shared" si="14"/>
        <v>0</v>
      </c>
      <c r="O12" s="1387">
        <f t="shared" si="32"/>
        <v>0</v>
      </c>
      <c r="P12" s="1387">
        <f t="shared" si="15"/>
        <v>0</v>
      </c>
      <c r="Q12" s="1387">
        <f t="shared" si="16"/>
        <v>0</v>
      </c>
      <c r="R12" s="1390">
        <f t="shared" si="33"/>
        <v>0</v>
      </c>
      <c r="S12" s="1387">
        <f t="shared" si="17"/>
        <v>0</v>
      </c>
      <c r="T12" s="1387">
        <f t="shared" si="18"/>
        <v>0</v>
      </c>
      <c r="U12" s="1386">
        <f t="shared" si="19"/>
        <v>0</v>
      </c>
      <c r="V12" s="1387">
        <f t="shared" si="20"/>
        <v>0</v>
      </c>
      <c r="W12" s="1386">
        <f t="shared" si="21"/>
        <v>0</v>
      </c>
      <c r="X12" s="1386">
        <f t="shared" si="22"/>
        <v>0</v>
      </c>
      <c r="Y12" s="1386">
        <f t="shared" si="23"/>
        <v>0</v>
      </c>
      <c r="Z12" s="1386">
        <f t="shared" si="24"/>
        <v>0</v>
      </c>
      <c r="AA12" s="1391">
        <f t="shared" si="25"/>
        <v>0</v>
      </c>
      <c r="AB12" s="1391">
        <f t="shared" si="26"/>
        <v>0</v>
      </c>
      <c r="AC12" s="1391">
        <f t="shared" si="27"/>
        <v>0</v>
      </c>
      <c r="AD12" s="1392" t="e">
        <f t="shared" si="28"/>
        <v>#DIV/0!</v>
      </c>
      <c r="AE12" s="283"/>
      <c r="AF12" s="284"/>
      <c r="AG12" s="284"/>
      <c r="AH12" s="284"/>
      <c r="AI12" s="284"/>
      <c r="AJ12" s="284"/>
      <c r="AK12" s="284"/>
      <c r="AL12" s="103"/>
      <c r="AM12" s="104"/>
      <c r="AN12" s="1038"/>
      <c r="AO12" s="322">
        <f t="shared" si="29"/>
        <v>0</v>
      </c>
      <c r="AP12" s="105">
        <f t="shared" ref="AP12:AP24" si="45">IF(AE12=0,0,IF(AE$3="TM",AE12/$E12*100,AE12))</f>
        <v>0</v>
      </c>
      <c r="AQ12" s="105">
        <f t="shared" ref="AQ12:AQ21" si="46">IF(AF12=0,0,IF(AF$3="TM",AF12/$E12*100,AF12))</f>
        <v>0</v>
      </c>
      <c r="AR12" s="105">
        <f t="shared" ref="AR12:AR21" si="47">IF(AG12=0,0,IF(AG$3="TM",AG12/$E12*100,AG12))</f>
        <v>0</v>
      </c>
      <c r="AS12" s="105">
        <f t="shared" ref="AS12:AS21" si="48">IF(AH12=0,0,IF(AH$3="TM",AH12/$E12*100,AH12))</f>
        <v>0</v>
      </c>
      <c r="AT12" s="105">
        <f t="shared" ref="AT12:AT21" si="49">IF(AI12=0,0,IF(AI$3="TM",AI12/$E12*100,AI12))</f>
        <v>0</v>
      </c>
      <c r="AU12" s="105">
        <f t="shared" ref="AU12:AU21" si="50">IF(AJ12=0,0,IF(AJ$3="TM",AJ12/$E12*100,AJ12))</f>
        <v>0</v>
      </c>
      <c r="AV12" s="105">
        <f t="shared" ref="AV12:AV21" si="51">IF(AK12=0,0,IF(AK$3="TM",AK12/$E12*100,AK12))</f>
        <v>0</v>
      </c>
      <c r="AW12" s="105">
        <f t="shared" ref="AW12:AW21" si="52">IF(AL12=0,0,IF(AL$3="TM",AL12/$E12*100,AL12))</f>
        <v>0</v>
      </c>
      <c r="AX12" s="323">
        <f t="shared" ref="AX12:AX21" si="53">IF(AM12=0,0,IF(AM$3="TM",AM12/$E12*100,AM12))</f>
        <v>0</v>
      </c>
      <c r="AY12" s="1047"/>
      <c r="AZ12" s="110">
        <f t="shared" si="35"/>
        <v>0</v>
      </c>
      <c r="BA12" s="111">
        <f t="shared" si="36"/>
        <v>0</v>
      </c>
      <c r="BB12" s="111">
        <f t="shared" si="37"/>
        <v>0</v>
      </c>
      <c r="BC12" s="111">
        <f t="shared" si="38"/>
        <v>0</v>
      </c>
      <c r="BD12" s="111">
        <f t="shared" si="39"/>
        <v>0</v>
      </c>
      <c r="BE12" s="111">
        <f t="shared" si="40"/>
        <v>0</v>
      </c>
      <c r="BF12" s="111">
        <f t="shared" si="41"/>
        <v>0</v>
      </c>
      <c r="BG12" s="111">
        <f t="shared" si="42"/>
        <v>0</v>
      </c>
      <c r="BH12" s="112">
        <f t="shared" si="43"/>
        <v>0</v>
      </c>
      <c r="BI12" s="113">
        <f t="shared" si="44"/>
        <v>0</v>
      </c>
    </row>
    <row r="13" spans="1:61" ht="20.25" customHeight="1" x14ac:dyDescent="0.2">
      <c r="A13" s="1402">
        <v>273</v>
      </c>
      <c r="B13" s="1103">
        <f t="shared" si="3"/>
        <v>0</v>
      </c>
      <c r="C13" s="1105"/>
      <c r="D13" s="1386">
        <f t="shared" si="4"/>
        <v>0</v>
      </c>
      <c r="E13" s="1386">
        <f t="shared" si="5"/>
        <v>0</v>
      </c>
      <c r="F13" s="1386">
        <f t="shared" si="6"/>
        <v>0</v>
      </c>
      <c r="G13" s="1386">
        <f t="shared" si="7"/>
        <v>0</v>
      </c>
      <c r="H13" s="1387">
        <f t="shared" si="8"/>
        <v>0</v>
      </c>
      <c r="I13" s="1388">
        <f t="shared" si="9"/>
        <v>0</v>
      </c>
      <c r="J13" s="1387">
        <f t="shared" si="10"/>
        <v>0</v>
      </c>
      <c r="K13" s="1386">
        <f t="shared" si="11"/>
        <v>0</v>
      </c>
      <c r="L13" s="1389">
        <f t="shared" si="12"/>
        <v>0</v>
      </c>
      <c r="M13" s="1386">
        <f t="shared" si="13"/>
        <v>0</v>
      </c>
      <c r="N13" s="1387">
        <f t="shared" si="14"/>
        <v>0</v>
      </c>
      <c r="O13" s="1387">
        <f t="shared" si="32"/>
        <v>0</v>
      </c>
      <c r="P13" s="1387">
        <f t="shared" si="15"/>
        <v>0</v>
      </c>
      <c r="Q13" s="1387">
        <f t="shared" si="16"/>
        <v>0</v>
      </c>
      <c r="R13" s="1390">
        <f t="shared" si="33"/>
        <v>0</v>
      </c>
      <c r="S13" s="1387">
        <f t="shared" si="17"/>
        <v>0</v>
      </c>
      <c r="T13" s="1387">
        <f t="shared" si="18"/>
        <v>0</v>
      </c>
      <c r="U13" s="1386">
        <f t="shared" si="19"/>
        <v>0</v>
      </c>
      <c r="V13" s="1387">
        <f t="shared" si="20"/>
        <v>0</v>
      </c>
      <c r="W13" s="1386">
        <f t="shared" si="21"/>
        <v>0</v>
      </c>
      <c r="X13" s="1386">
        <f t="shared" si="22"/>
        <v>0</v>
      </c>
      <c r="Y13" s="1386">
        <f t="shared" si="23"/>
        <v>0</v>
      </c>
      <c r="Z13" s="1386">
        <f t="shared" si="24"/>
        <v>0</v>
      </c>
      <c r="AA13" s="1391">
        <f t="shared" si="25"/>
        <v>0</v>
      </c>
      <c r="AB13" s="1391">
        <f t="shared" si="26"/>
        <v>0</v>
      </c>
      <c r="AC13" s="1391">
        <f t="shared" si="27"/>
        <v>0</v>
      </c>
      <c r="AD13" s="1392" t="e">
        <f t="shared" si="28"/>
        <v>#DIV/0!</v>
      </c>
      <c r="AE13" s="283"/>
      <c r="AF13" s="284"/>
      <c r="AG13" s="284"/>
      <c r="AH13" s="284"/>
      <c r="AI13" s="284"/>
      <c r="AJ13" s="284"/>
      <c r="AK13" s="284"/>
      <c r="AL13" s="103"/>
      <c r="AM13" s="104"/>
      <c r="AN13" s="1038"/>
      <c r="AO13" s="322">
        <f t="shared" si="29"/>
        <v>0</v>
      </c>
      <c r="AP13" s="105">
        <f t="shared" si="45"/>
        <v>0</v>
      </c>
      <c r="AQ13" s="105">
        <f t="shared" si="46"/>
        <v>0</v>
      </c>
      <c r="AR13" s="105">
        <f t="shared" si="47"/>
        <v>0</v>
      </c>
      <c r="AS13" s="105">
        <f t="shared" si="48"/>
        <v>0</v>
      </c>
      <c r="AT13" s="105">
        <f t="shared" si="49"/>
        <v>0</v>
      </c>
      <c r="AU13" s="105">
        <f t="shared" si="50"/>
        <v>0</v>
      </c>
      <c r="AV13" s="105">
        <f t="shared" si="51"/>
        <v>0</v>
      </c>
      <c r="AW13" s="105">
        <f t="shared" si="52"/>
        <v>0</v>
      </c>
      <c r="AX13" s="323">
        <f t="shared" si="53"/>
        <v>0</v>
      </c>
      <c r="AY13" s="1047"/>
      <c r="AZ13" s="110">
        <f t="shared" si="35"/>
        <v>0</v>
      </c>
      <c r="BA13" s="111">
        <f t="shared" si="36"/>
        <v>0</v>
      </c>
      <c r="BB13" s="111">
        <f t="shared" si="37"/>
        <v>0</v>
      </c>
      <c r="BC13" s="111">
        <f t="shared" si="38"/>
        <v>0</v>
      </c>
      <c r="BD13" s="111">
        <f t="shared" si="39"/>
        <v>0</v>
      </c>
      <c r="BE13" s="111">
        <f t="shared" si="40"/>
        <v>0</v>
      </c>
      <c r="BF13" s="111">
        <f t="shared" si="41"/>
        <v>0</v>
      </c>
      <c r="BG13" s="111">
        <f t="shared" si="42"/>
        <v>0</v>
      </c>
      <c r="BH13" s="112">
        <f t="shared" si="43"/>
        <v>0</v>
      </c>
      <c r="BI13" s="113">
        <f t="shared" si="44"/>
        <v>0</v>
      </c>
    </row>
    <row r="14" spans="1:61" ht="20.25" customHeight="1" x14ac:dyDescent="0.2">
      <c r="A14" s="1402">
        <v>277</v>
      </c>
      <c r="B14" s="1103">
        <f t="shared" si="3"/>
        <v>0</v>
      </c>
      <c r="C14" s="1105"/>
      <c r="D14" s="1386">
        <f t="shared" si="4"/>
        <v>0</v>
      </c>
      <c r="E14" s="1386">
        <f t="shared" si="5"/>
        <v>0</v>
      </c>
      <c r="F14" s="1386">
        <f t="shared" si="6"/>
        <v>0</v>
      </c>
      <c r="G14" s="1386">
        <f t="shared" si="7"/>
        <v>0</v>
      </c>
      <c r="H14" s="1387">
        <f t="shared" si="8"/>
        <v>0</v>
      </c>
      <c r="I14" s="1388">
        <f t="shared" si="9"/>
        <v>0</v>
      </c>
      <c r="J14" s="1387">
        <f t="shared" si="10"/>
        <v>0</v>
      </c>
      <c r="K14" s="1386">
        <f t="shared" si="11"/>
        <v>0</v>
      </c>
      <c r="L14" s="1389">
        <f t="shared" si="12"/>
        <v>0</v>
      </c>
      <c r="M14" s="1386">
        <f t="shared" si="13"/>
        <v>0</v>
      </c>
      <c r="N14" s="1387">
        <f t="shared" si="14"/>
        <v>0</v>
      </c>
      <c r="O14" s="1387">
        <f t="shared" si="32"/>
        <v>0</v>
      </c>
      <c r="P14" s="1387">
        <f t="shared" si="15"/>
        <v>0</v>
      </c>
      <c r="Q14" s="1387">
        <f t="shared" si="16"/>
        <v>0</v>
      </c>
      <c r="R14" s="1390">
        <f t="shared" si="33"/>
        <v>0</v>
      </c>
      <c r="S14" s="1387">
        <f t="shared" si="17"/>
        <v>0</v>
      </c>
      <c r="T14" s="1387">
        <f t="shared" si="18"/>
        <v>0</v>
      </c>
      <c r="U14" s="1386">
        <f t="shared" si="19"/>
        <v>0</v>
      </c>
      <c r="V14" s="1387">
        <f t="shared" si="20"/>
        <v>0</v>
      </c>
      <c r="W14" s="1386">
        <f t="shared" si="21"/>
        <v>0</v>
      </c>
      <c r="X14" s="1386">
        <f t="shared" si="22"/>
        <v>0</v>
      </c>
      <c r="Y14" s="1386">
        <f t="shared" si="23"/>
        <v>0</v>
      </c>
      <c r="Z14" s="1386">
        <f t="shared" si="24"/>
        <v>0</v>
      </c>
      <c r="AA14" s="1391">
        <f t="shared" si="25"/>
        <v>0</v>
      </c>
      <c r="AB14" s="1391">
        <f t="shared" si="26"/>
        <v>0</v>
      </c>
      <c r="AC14" s="1391">
        <f t="shared" si="27"/>
        <v>0</v>
      </c>
      <c r="AD14" s="1392" t="e">
        <f t="shared" si="28"/>
        <v>#DIV/0!</v>
      </c>
      <c r="AE14" s="283"/>
      <c r="AF14" s="284"/>
      <c r="AG14" s="284"/>
      <c r="AH14" s="284"/>
      <c r="AI14" s="284"/>
      <c r="AJ14" s="284"/>
      <c r="AK14" s="284"/>
      <c r="AL14" s="103"/>
      <c r="AM14" s="104"/>
      <c r="AN14" s="1038"/>
      <c r="AO14" s="322">
        <f t="shared" si="29"/>
        <v>0</v>
      </c>
      <c r="AP14" s="105">
        <f t="shared" si="45"/>
        <v>0</v>
      </c>
      <c r="AQ14" s="105">
        <f t="shared" si="46"/>
        <v>0</v>
      </c>
      <c r="AR14" s="105">
        <f t="shared" si="47"/>
        <v>0</v>
      </c>
      <c r="AS14" s="105">
        <f t="shared" si="48"/>
        <v>0</v>
      </c>
      <c r="AT14" s="105">
        <f t="shared" si="49"/>
        <v>0</v>
      </c>
      <c r="AU14" s="105">
        <f t="shared" si="50"/>
        <v>0</v>
      </c>
      <c r="AV14" s="105">
        <f t="shared" si="51"/>
        <v>0</v>
      </c>
      <c r="AW14" s="105">
        <f t="shared" si="52"/>
        <v>0</v>
      </c>
      <c r="AX14" s="323">
        <f t="shared" si="53"/>
        <v>0</v>
      </c>
      <c r="AY14" s="1047"/>
      <c r="AZ14" s="110">
        <f t="shared" si="35"/>
        <v>0</v>
      </c>
      <c r="BA14" s="111">
        <f t="shared" si="36"/>
        <v>0</v>
      </c>
      <c r="BB14" s="111">
        <f t="shared" si="37"/>
        <v>0</v>
      </c>
      <c r="BC14" s="111">
        <f t="shared" si="38"/>
        <v>0</v>
      </c>
      <c r="BD14" s="111">
        <f t="shared" si="39"/>
        <v>0</v>
      </c>
      <c r="BE14" s="111">
        <f t="shared" si="40"/>
        <v>0</v>
      </c>
      <c r="BF14" s="111">
        <f t="shared" si="41"/>
        <v>0</v>
      </c>
      <c r="BG14" s="111">
        <f t="shared" si="42"/>
        <v>0</v>
      </c>
      <c r="BH14" s="112">
        <f t="shared" si="43"/>
        <v>0</v>
      </c>
      <c r="BI14" s="113">
        <f t="shared" si="44"/>
        <v>0</v>
      </c>
    </row>
    <row r="15" spans="1:61" ht="20.25" customHeight="1" x14ac:dyDescent="0.2">
      <c r="A15" s="1402">
        <v>277</v>
      </c>
      <c r="B15" s="1103">
        <f t="shared" si="3"/>
        <v>0</v>
      </c>
      <c r="C15" s="1105"/>
      <c r="D15" s="1386">
        <f t="shared" si="4"/>
        <v>0</v>
      </c>
      <c r="E15" s="1386">
        <f t="shared" si="5"/>
        <v>0</v>
      </c>
      <c r="F15" s="1386">
        <f t="shared" si="6"/>
        <v>0</v>
      </c>
      <c r="G15" s="1386">
        <f t="shared" si="7"/>
        <v>0</v>
      </c>
      <c r="H15" s="1387">
        <f t="shared" si="8"/>
        <v>0</v>
      </c>
      <c r="I15" s="1388">
        <f t="shared" si="9"/>
        <v>0</v>
      </c>
      <c r="J15" s="1387">
        <f t="shared" si="10"/>
        <v>0</v>
      </c>
      <c r="K15" s="1386">
        <f t="shared" si="11"/>
        <v>0</v>
      </c>
      <c r="L15" s="1389">
        <f t="shared" si="12"/>
        <v>0</v>
      </c>
      <c r="M15" s="1386">
        <f t="shared" si="13"/>
        <v>0</v>
      </c>
      <c r="N15" s="1387">
        <f t="shared" si="14"/>
        <v>0</v>
      </c>
      <c r="O15" s="1387">
        <f t="shared" si="32"/>
        <v>0</v>
      </c>
      <c r="P15" s="1387">
        <f t="shared" si="15"/>
        <v>0</v>
      </c>
      <c r="Q15" s="1387">
        <f t="shared" si="16"/>
        <v>0</v>
      </c>
      <c r="R15" s="1390">
        <f t="shared" si="33"/>
        <v>0</v>
      </c>
      <c r="S15" s="1387">
        <f t="shared" si="17"/>
        <v>0</v>
      </c>
      <c r="T15" s="1387">
        <f t="shared" si="18"/>
        <v>0</v>
      </c>
      <c r="U15" s="1386">
        <f t="shared" si="19"/>
        <v>0</v>
      </c>
      <c r="V15" s="1387">
        <f t="shared" si="20"/>
        <v>0</v>
      </c>
      <c r="W15" s="1386">
        <f t="shared" si="21"/>
        <v>0</v>
      </c>
      <c r="X15" s="1386">
        <f t="shared" si="22"/>
        <v>0</v>
      </c>
      <c r="Y15" s="1386">
        <f t="shared" si="23"/>
        <v>0</v>
      </c>
      <c r="Z15" s="1386">
        <f t="shared" si="24"/>
        <v>0</v>
      </c>
      <c r="AA15" s="1391">
        <f t="shared" si="25"/>
        <v>0</v>
      </c>
      <c r="AB15" s="1391">
        <f t="shared" si="26"/>
        <v>0</v>
      </c>
      <c r="AC15" s="1391">
        <f t="shared" si="27"/>
        <v>0</v>
      </c>
      <c r="AD15" s="1392" t="e">
        <f t="shared" si="28"/>
        <v>#DIV/0!</v>
      </c>
      <c r="AE15" s="283"/>
      <c r="AF15" s="284"/>
      <c r="AG15" s="284"/>
      <c r="AH15" s="284"/>
      <c r="AI15" s="284"/>
      <c r="AJ15" s="284"/>
      <c r="AK15" s="284"/>
      <c r="AL15" s="103"/>
      <c r="AM15" s="104"/>
      <c r="AN15" s="1038"/>
      <c r="AO15" s="322">
        <f t="shared" si="29"/>
        <v>0</v>
      </c>
      <c r="AP15" s="105">
        <f t="shared" si="45"/>
        <v>0</v>
      </c>
      <c r="AQ15" s="105">
        <f t="shared" si="46"/>
        <v>0</v>
      </c>
      <c r="AR15" s="105">
        <f t="shared" si="47"/>
        <v>0</v>
      </c>
      <c r="AS15" s="105">
        <f t="shared" si="48"/>
        <v>0</v>
      </c>
      <c r="AT15" s="105">
        <f t="shared" si="49"/>
        <v>0</v>
      </c>
      <c r="AU15" s="105">
        <f t="shared" si="50"/>
        <v>0</v>
      </c>
      <c r="AV15" s="105">
        <f t="shared" si="51"/>
        <v>0</v>
      </c>
      <c r="AW15" s="105">
        <f t="shared" si="52"/>
        <v>0</v>
      </c>
      <c r="AX15" s="323">
        <f t="shared" si="53"/>
        <v>0</v>
      </c>
      <c r="AY15" s="1047"/>
      <c r="AZ15" s="110">
        <f t="shared" si="35"/>
        <v>0</v>
      </c>
      <c r="BA15" s="111">
        <f t="shared" si="36"/>
        <v>0</v>
      </c>
      <c r="BB15" s="111">
        <f t="shared" si="37"/>
        <v>0</v>
      </c>
      <c r="BC15" s="111">
        <f t="shared" si="38"/>
        <v>0</v>
      </c>
      <c r="BD15" s="111">
        <f t="shared" si="39"/>
        <v>0</v>
      </c>
      <c r="BE15" s="111">
        <f t="shared" si="40"/>
        <v>0</v>
      </c>
      <c r="BF15" s="111">
        <f t="shared" si="41"/>
        <v>0</v>
      </c>
      <c r="BG15" s="111">
        <f t="shared" si="42"/>
        <v>0</v>
      </c>
      <c r="BH15" s="112">
        <f t="shared" si="43"/>
        <v>0</v>
      </c>
      <c r="BI15" s="113">
        <f t="shared" si="44"/>
        <v>0</v>
      </c>
    </row>
    <row r="16" spans="1:61" ht="20.25" customHeight="1" x14ac:dyDescent="0.2">
      <c r="A16" s="1402">
        <v>11</v>
      </c>
      <c r="B16" s="1103">
        <f t="shared" si="3"/>
        <v>0</v>
      </c>
      <c r="C16" s="1106"/>
      <c r="D16" s="1386">
        <f t="shared" si="4"/>
        <v>0</v>
      </c>
      <c r="E16" s="1386">
        <f t="shared" si="5"/>
        <v>0</v>
      </c>
      <c r="F16" s="1386">
        <f t="shared" si="6"/>
        <v>0</v>
      </c>
      <c r="G16" s="1386">
        <f t="shared" si="7"/>
        <v>0</v>
      </c>
      <c r="H16" s="1387">
        <f t="shared" si="8"/>
        <v>0</v>
      </c>
      <c r="I16" s="1388">
        <f t="shared" si="9"/>
        <v>0</v>
      </c>
      <c r="J16" s="1387">
        <f t="shared" si="10"/>
        <v>0</v>
      </c>
      <c r="K16" s="1386">
        <f t="shared" si="11"/>
        <v>0</v>
      </c>
      <c r="L16" s="1389">
        <f t="shared" si="12"/>
        <v>0</v>
      </c>
      <c r="M16" s="1386">
        <f t="shared" si="13"/>
        <v>0</v>
      </c>
      <c r="N16" s="1387">
        <f t="shared" si="14"/>
        <v>0</v>
      </c>
      <c r="O16" s="1387">
        <f t="shared" si="32"/>
        <v>0</v>
      </c>
      <c r="P16" s="1387">
        <f t="shared" si="15"/>
        <v>0</v>
      </c>
      <c r="Q16" s="1387">
        <f t="shared" si="16"/>
        <v>0</v>
      </c>
      <c r="R16" s="1390">
        <f t="shared" si="33"/>
        <v>0</v>
      </c>
      <c r="S16" s="1387">
        <f t="shared" si="17"/>
        <v>0</v>
      </c>
      <c r="T16" s="1387">
        <f t="shared" si="18"/>
        <v>0</v>
      </c>
      <c r="U16" s="1386">
        <f t="shared" si="19"/>
        <v>0</v>
      </c>
      <c r="V16" s="1387">
        <f t="shared" si="20"/>
        <v>0</v>
      </c>
      <c r="W16" s="1386">
        <f t="shared" si="21"/>
        <v>0</v>
      </c>
      <c r="X16" s="1386">
        <f t="shared" si="22"/>
        <v>0</v>
      </c>
      <c r="Y16" s="1386">
        <f t="shared" si="23"/>
        <v>0</v>
      </c>
      <c r="Z16" s="1386">
        <f t="shared" si="24"/>
        <v>0</v>
      </c>
      <c r="AA16" s="1391">
        <f t="shared" si="25"/>
        <v>0</v>
      </c>
      <c r="AB16" s="1391">
        <f t="shared" si="26"/>
        <v>0</v>
      </c>
      <c r="AC16" s="1391">
        <f t="shared" si="27"/>
        <v>0</v>
      </c>
      <c r="AD16" s="1392" t="e">
        <f t="shared" si="28"/>
        <v>#DIV/0!</v>
      </c>
      <c r="AE16" s="283"/>
      <c r="AF16" s="284"/>
      <c r="AG16" s="284"/>
      <c r="AH16" s="284"/>
      <c r="AI16" s="284"/>
      <c r="AJ16" s="284"/>
      <c r="AK16" s="284"/>
      <c r="AL16" s="103"/>
      <c r="AM16" s="104"/>
      <c r="AN16" s="1038"/>
      <c r="AO16" s="322">
        <f t="shared" si="29"/>
        <v>0</v>
      </c>
      <c r="AP16" s="105">
        <f t="shared" si="45"/>
        <v>0</v>
      </c>
      <c r="AQ16" s="105">
        <f t="shared" si="46"/>
        <v>0</v>
      </c>
      <c r="AR16" s="105">
        <f t="shared" si="47"/>
        <v>0</v>
      </c>
      <c r="AS16" s="105">
        <f t="shared" si="48"/>
        <v>0</v>
      </c>
      <c r="AT16" s="105">
        <f t="shared" si="49"/>
        <v>0</v>
      </c>
      <c r="AU16" s="105">
        <f t="shared" si="50"/>
        <v>0</v>
      </c>
      <c r="AV16" s="105">
        <f t="shared" si="51"/>
        <v>0</v>
      </c>
      <c r="AW16" s="105">
        <f t="shared" si="52"/>
        <v>0</v>
      </c>
      <c r="AX16" s="323">
        <f t="shared" si="53"/>
        <v>0</v>
      </c>
      <c r="AY16" s="1048"/>
      <c r="AZ16" s="110">
        <f t="shared" si="35"/>
        <v>0</v>
      </c>
      <c r="BA16" s="111">
        <f t="shared" si="36"/>
        <v>0</v>
      </c>
      <c r="BB16" s="111">
        <f t="shared" si="37"/>
        <v>0</v>
      </c>
      <c r="BC16" s="111">
        <f t="shared" si="38"/>
        <v>0</v>
      </c>
      <c r="BD16" s="111">
        <f t="shared" si="39"/>
        <v>0</v>
      </c>
      <c r="BE16" s="111">
        <f t="shared" si="40"/>
        <v>0</v>
      </c>
      <c r="BF16" s="111">
        <f t="shared" si="41"/>
        <v>0</v>
      </c>
      <c r="BG16" s="111">
        <f t="shared" si="42"/>
        <v>0</v>
      </c>
      <c r="BH16" s="112">
        <f t="shared" si="43"/>
        <v>0</v>
      </c>
      <c r="BI16" s="113">
        <f t="shared" si="44"/>
        <v>0</v>
      </c>
    </row>
    <row r="17" spans="1:61" ht="20.25" customHeight="1" x14ac:dyDescent="0.2">
      <c r="A17" s="1402">
        <v>279</v>
      </c>
      <c r="B17" s="1103">
        <f t="shared" si="3"/>
        <v>0</v>
      </c>
      <c r="C17" s="1106"/>
      <c r="D17" s="1386">
        <f t="shared" si="4"/>
        <v>0</v>
      </c>
      <c r="E17" s="1386">
        <f t="shared" si="5"/>
        <v>0</v>
      </c>
      <c r="F17" s="1386">
        <f t="shared" si="6"/>
        <v>0</v>
      </c>
      <c r="G17" s="1386">
        <f t="shared" si="7"/>
        <v>0</v>
      </c>
      <c r="H17" s="1387">
        <f t="shared" si="8"/>
        <v>0</v>
      </c>
      <c r="I17" s="1388">
        <f t="shared" si="9"/>
        <v>0</v>
      </c>
      <c r="J17" s="1387">
        <f t="shared" si="10"/>
        <v>0</v>
      </c>
      <c r="K17" s="1386">
        <f t="shared" si="11"/>
        <v>0</v>
      </c>
      <c r="L17" s="1389">
        <f t="shared" si="12"/>
        <v>0</v>
      </c>
      <c r="M17" s="1386">
        <f t="shared" si="13"/>
        <v>0</v>
      </c>
      <c r="N17" s="1387">
        <f t="shared" si="14"/>
        <v>0</v>
      </c>
      <c r="O17" s="1387">
        <f t="shared" si="32"/>
        <v>0</v>
      </c>
      <c r="P17" s="1387">
        <f t="shared" si="15"/>
        <v>0</v>
      </c>
      <c r="Q17" s="1387">
        <f t="shared" si="16"/>
        <v>0</v>
      </c>
      <c r="R17" s="1390">
        <f t="shared" si="33"/>
        <v>0</v>
      </c>
      <c r="S17" s="1387">
        <f t="shared" si="17"/>
        <v>0</v>
      </c>
      <c r="T17" s="1387">
        <f t="shared" si="18"/>
        <v>0</v>
      </c>
      <c r="U17" s="1386">
        <f t="shared" si="19"/>
        <v>0</v>
      </c>
      <c r="V17" s="1387">
        <f t="shared" si="20"/>
        <v>0</v>
      </c>
      <c r="W17" s="1386">
        <f t="shared" si="21"/>
        <v>0</v>
      </c>
      <c r="X17" s="1386">
        <f t="shared" si="22"/>
        <v>0</v>
      </c>
      <c r="Y17" s="1386">
        <f t="shared" si="23"/>
        <v>0</v>
      </c>
      <c r="Z17" s="1386">
        <f t="shared" si="24"/>
        <v>0</v>
      </c>
      <c r="AA17" s="1391">
        <f t="shared" si="25"/>
        <v>0</v>
      </c>
      <c r="AB17" s="1391">
        <f t="shared" si="26"/>
        <v>0</v>
      </c>
      <c r="AC17" s="1391">
        <f t="shared" si="27"/>
        <v>0</v>
      </c>
      <c r="AD17" s="1392" t="e">
        <f t="shared" si="28"/>
        <v>#DIV/0!</v>
      </c>
      <c r="AE17" s="283"/>
      <c r="AF17" s="284"/>
      <c r="AG17" s="284"/>
      <c r="AH17" s="284"/>
      <c r="AI17" s="284"/>
      <c r="AJ17" s="284"/>
      <c r="AK17" s="284"/>
      <c r="AL17" s="103"/>
      <c r="AM17" s="104"/>
      <c r="AN17" s="1038"/>
      <c r="AO17" s="322">
        <f t="shared" si="29"/>
        <v>0</v>
      </c>
      <c r="AP17" s="105">
        <f t="shared" si="45"/>
        <v>0</v>
      </c>
      <c r="AQ17" s="105">
        <f t="shared" si="46"/>
        <v>0</v>
      </c>
      <c r="AR17" s="105">
        <f t="shared" si="47"/>
        <v>0</v>
      </c>
      <c r="AS17" s="105">
        <f t="shared" si="48"/>
        <v>0</v>
      </c>
      <c r="AT17" s="105">
        <f t="shared" si="49"/>
        <v>0</v>
      </c>
      <c r="AU17" s="105">
        <f t="shared" si="50"/>
        <v>0</v>
      </c>
      <c r="AV17" s="105">
        <f t="shared" si="51"/>
        <v>0</v>
      </c>
      <c r="AW17" s="105">
        <f t="shared" si="52"/>
        <v>0</v>
      </c>
      <c r="AX17" s="323">
        <f t="shared" si="53"/>
        <v>0</v>
      </c>
      <c r="AY17" s="1048"/>
      <c r="AZ17" s="110">
        <f t="shared" si="35"/>
        <v>0</v>
      </c>
      <c r="BA17" s="111">
        <f t="shared" si="36"/>
        <v>0</v>
      </c>
      <c r="BB17" s="111">
        <f t="shared" si="37"/>
        <v>0</v>
      </c>
      <c r="BC17" s="111">
        <f t="shared" si="38"/>
        <v>0</v>
      </c>
      <c r="BD17" s="111">
        <f t="shared" si="39"/>
        <v>0</v>
      </c>
      <c r="BE17" s="111">
        <f t="shared" si="40"/>
        <v>0</v>
      </c>
      <c r="BF17" s="111">
        <f t="shared" si="41"/>
        <v>0</v>
      </c>
      <c r="BG17" s="111">
        <f t="shared" si="42"/>
        <v>0</v>
      </c>
      <c r="BH17" s="112">
        <f t="shared" si="43"/>
        <v>0</v>
      </c>
      <c r="BI17" s="113">
        <f t="shared" si="44"/>
        <v>0</v>
      </c>
    </row>
    <row r="18" spans="1:61" ht="20.25" customHeight="1" x14ac:dyDescent="0.2">
      <c r="A18" s="1402">
        <v>277</v>
      </c>
      <c r="B18" s="1103">
        <f t="shared" si="3"/>
        <v>0</v>
      </c>
      <c r="C18" s="1106"/>
      <c r="D18" s="1386">
        <f t="shared" si="4"/>
        <v>0</v>
      </c>
      <c r="E18" s="1386">
        <f t="shared" si="5"/>
        <v>0</v>
      </c>
      <c r="F18" s="1386">
        <f t="shared" si="6"/>
        <v>0</v>
      </c>
      <c r="G18" s="1386">
        <f t="shared" si="7"/>
        <v>0</v>
      </c>
      <c r="H18" s="1387">
        <f t="shared" si="8"/>
        <v>0</v>
      </c>
      <c r="I18" s="1388">
        <f t="shared" si="9"/>
        <v>0</v>
      </c>
      <c r="J18" s="1387">
        <f t="shared" si="10"/>
        <v>0</v>
      </c>
      <c r="K18" s="1386">
        <f t="shared" si="11"/>
        <v>0</v>
      </c>
      <c r="L18" s="1389">
        <f t="shared" si="12"/>
        <v>0</v>
      </c>
      <c r="M18" s="1386">
        <f t="shared" si="13"/>
        <v>0</v>
      </c>
      <c r="N18" s="1387">
        <f t="shared" si="14"/>
        <v>0</v>
      </c>
      <c r="O18" s="1387">
        <f t="shared" si="32"/>
        <v>0</v>
      </c>
      <c r="P18" s="1387">
        <f t="shared" si="15"/>
        <v>0</v>
      </c>
      <c r="Q18" s="1387">
        <f t="shared" si="16"/>
        <v>0</v>
      </c>
      <c r="R18" s="1390">
        <f t="shared" si="33"/>
        <v>0</v>
      </c>
      <c r="S18" s="1387">
        <f t="shared" si="17"/>
        <v>0</v>
      </c>
      <c r="T18" s="1387">
        <f t="shared" si="18"/>
        <v>0</v>
      </c>
      <c r="U18" s="1386">
        <f t="shared" si="19"/>
        <v>0</v>
      </c>
      <c r="V18" s="1387">
        <f t="shared" si="20"/>
        <v>0</v>
      </c>
      <c r="W18" s="1386">
        <f t="shared" si="21"/>
        <v>0</v>
      </c>
      <c r="X18" s="1386">
        <f t="shared" si="22"/>
        <v>0</v>
      </c>
      <c r="Y18" s="1386">
        <f t="shared" si="23"/>
        <v>0</v>
      </c>
      <c r="Z18" s="1386">
        <f t="shared" si="24"/>
        <v>0</v>
      </c>
      <c r="AA18" s="1391">
        <f t="shared" si="25"/>
        <v>0</v>
      </c>
      <c r="AB18" s="1391">
        <f t="shared" si="26"/>
        <v>0</v>
      </c>
      <c r="AC18" s="1391">
        <f t="shared" si="27"/>
        <v>0</v>
      </c>
      <c r="AD18" s="1392" t="e">
        <f t="shared" si="28"/>
        <v>#DIV/0!</v>
      </c>
      <c r="AE18" s="283"/>
      <c r="AF18" s="284"/>
      <c r="AG18" s="284"/>
      <c r="AH18" s="284"/>
      <c r="AI18" s="284"/>
      <c r="AJ18" s="284"/>
      <c r="AK18" s="284"/>
      <c r="AL18" s="103"/>
      <c r="AM18" s="104"/>
      <c r="AN18" s="1038"/>
      <c r="AO18" s="322">
        <f t="shared" si="29"/>
        <v>0</v>
      </c>
      <c r="AP18" s="105">
        <f t="shared" si="45"/>
        <v>0</v>
      </c>
      <c r="AQ18" s="105">
        <f t="shared" si="46"/>
        <v>0</v>
      </c>
      <c r="AR18" s="105">
        <f t="shared" si="47"/>
        <v>0</v>
      </c>
      <c r="AS18" s="105">
        <f t="shared" si="48"/>
        <v>0</v>
      </c>
      <c r="AT18" s="105">
        <f t="shared" si="49"/>
        <v>0</v>
      </c>
      <c r="AU18" s="105">
        <f t="shared" si="50"/>
        <v>0</v>
      </c>
      <c r="AV18" s="105">
        <f t="shared" si="51"/>
        <v>0</v>
      </c>
      <c r="AW18" s="105">
        <f t="shared" si="52"/>
        <v>0</v>
      </c>
      <c r="AX18" s="323">
        <f t="shared" si="53"/>
        <v>0</v>
      </c>
      <c r="AY18" s="1048"/>
      <c r="AZ18" s="110">
        <f t="shared" si="35"/>
        <v>0</v>
      </c>
      <c r="BA18" s="111">
        <f t="shared" si="36"/>
        <v>0</v>
      </c>
      <c r="BB18" s="111">
        <f t="shared" si="37"/>
        <v>0</v>
      </c>
      <c r="BC18" s="111">
        <f t="shared" si="38"/>
        <v>0</v>
      </c>
      <c r="BD18" s="111">
        <f t="shared" si="39"/>
        <v>0</v>
      </c>
      <c r="BE18" s="111">
        <f t="shared" si="40"/>
        <v>0</v>
      </c>
      <c r="BF18" s="111">
        <f t="shared" si="41"/>
        <v>0</v>
      </c>
      <c r="BG18" s="111">
        <f t="shared" si="42"/>
        <v>0</v>
      </c>
      <c r="BH18" s="112">
        <f t="shared" si="43"/>
        <v>0</v>
      </c>
      <c r="BI18" s="113">
        <f t="shared" si="44"/>
        <v>0</v>
      </c>
    </row>
    <row r="19" spans="1:61" ht="20.25" customHeight="1" x14ac:dyDescent="0.2">
      <c r="A19" s="1402">
        <v>278</v>
      </c>
      <c r="B19" s="1103">
        <f t="shared" si="3"/>
        <v>0</v>
      </c>
      <c r="C19" s="1106"/>
      <c r="D19" s="1386">
        <f t="shared" si="4"/>
        <v>0</v>
      </c>
      <c r="E19" s="1386">
        <f t="shared" si="5"/>
        <v>0</v>
      </c>
      <c r="F19" s="1386">
        <f t="shared" si="6"/>
        <v>0</v>
      </c>
      <c r="G19" s="1386">
        <f t="shared" si="7"/>
        <v>0</v>
      </c>
      <c r="H19" s="1387">
        <f t="shared" si="8"/>
        <v>0</v>
      </c>
      <c r="I19" s="1388">
        <f t="shared" si="9"/>
        <v>0</v>
      </c>
      <c r="J19" s="1387">
        <f t="shared" si="10"/>
        <v>0</v>
      </c>
      <c r="K19" s="1386">
        <f t="shared" si="11"/>
        <v>0</v>
      </c>
      <c r="L19" s="1389">
        <f t="shared" si="12"/>
        <v>0</v>
      </c>
      <c r="M19" s="1386">
        <f t="shared" si="13"/>
        <v>0</v>
      </c>
      <c r="N19" s="1387">
        <f t="shared" si="14"/>
        <v>0</v>
      </c>
      <c r="O19" s="1387">
        <f t="shared" si="32"/>
        <v>0</v>
      </c>
      <c r="P19" s="1387">
        <f t="shared" si="15"/>
        <v>0</v>
      </c>
      <c r="Q19" s="1387">
        <f t="shared" si="16"/>
        <v>0</v>
      </c>
      <c r="R19" s="1390">
        <f t="shared" si="33"/>
        <v>0</v>
      </c>
      <c r="S19" s="1387">
        <f t="shared" si="17"/>
        <v>0</v>
      </c>
      <c r="T19" s="1387">
        <f t="shared" si="18"/>
        <v>0</v>
      </c>
      <c r="U19" s="1386">
        <f t="shared" si="19"/>
        <v>0</v>
      </c>
      <c r="V19" s="1387">
        <f t="shared" si="20"/>
        <v>0</v>
      </c>
      <c r="W19" s="1386">
        <f t="shared" si="21"/>
        <v>0</v>
      </c>
      <c r="X19" s="1386">
        <f t="shared" si="22"/>
        <v>0</v>
      </c>
      <c r="Y19" s="1386">
        <f t="shared" si="23"/>
        <v>0</v>
      </c>
      <c r="Z19" s="1386">
        <f t="shared" si="24"/>
        <v>0</v>
      </c>
      <c r="AA19" s="1391">
        <f t="shared" si="25"/>
        <v>0</v>
      </c>
      <c r="AB19" s="1391">
        <f t="shared" si="26"/>
        <v>0</v>
      </c>
      <c r="AC19" s="1391">
        <f t="shared" si="27"/>
        <v>0</v>
      </c>
      <c r="AD19" s="1392" t="e">
        <f t="shared" si="28"/>
        <v>#DIV/0!</v>
      </c>
      <c r="AE19" s="283"/>
      <c r="AF19" s="284"/>
      <c r="AG19" s="284"/>
      <c r="AH19" s="284"/>
      <c r="AI19" s="284"/>
      <c r="AJ19" s="284"/>
      <c r="AK19" s="284"/>
      <c r="AL19" s="103"/>
      <c r="AM19" s="104"/>
      <c r="AN19" s="1038"/>
      <c r="AO19" s="322">
        <f t="shared" si="29"/>
        <v>0</v>
      </c>
      <c r="AP19" s="105">
        <f t="shared" si="45"/>
        <v>0</v>
      </c>
      <c r="AQ19" s="105">
        <f t="shared" si="46"/>
        <v>0</v>
      </c>
      <c r="AR19" s="105">
        <f t="shared" si="47"/>
        <v>0</v>
      </c>
      <c r="AS19" s="105">
        <f t="shared" si="48"/>
        <v>0</v>
      </c>
      <c r="AT19" s="105">
        <f t="shared" si="49"/>
        <v>0</v>
      </c>
      <c r="AU19" s="105">
        <f t="shared" si="50"/>
        <v>0</v>
      </c>
      <c r="AV19" s="105">
        <f t="shared" si="51"/>
        <v>0</v>
      </c>
      <c r="AW19" s="105">
        <f t="shared" si="52"/>
        <v>0</v>
      </c>
      <c r="AX19" s="323">
        <f t="shared" si="53"/>
        <v>0</v>
      </c>
      <c r="AY19" s="1048"/>
      <c r="AZ19" s="110">
        <f t="shared" si="35"/>
        <v>0</v>
      </c>
      <c r="BA19" s="111">
        <f t="shared" si="36"/>
        <v>0</v>
      </c>
      <c r="BB19" s="111">
        <f t="shared" si="37"/>
        <v>0</v>
      </c>
      <c r="BC19" s="111">
        <f t="shared" si="38"/>
        <v>0</v>
      </c>
      <c r="BD19" s="111">
        <f t="shared" si="39"/>
        <v>0</v>
      </c>
      <c r="BE19" s="111">
        <f t="shared" si="40"/>
        <v>0</v>
      </c>
      <c r="BF19" s="111">
        <f t="shared" si="41"/>
        <v>0</v>
      </c>
      <c r="BG19" s="111">
        <f t="shared" si="42"/>
        <v>0</v>
      </c>
      <c r="BH19" s="112">
        <f t="shared" si="43"/>
        <v>0</v>
      </c>
      <c r="BI19" s="113">
        <f t="shared" si="44"/>
        <v>0</v>
      </c>
    </row>
    <row r="20" spans="1:61" ht="20.25" customHeight="1" x14ac:dyDescent="0.2">
      <c r="A20" s="1402">
        <v>278</v>
      </c>
      <c r="B20" s="1103">
        <f t="shared" si="3"/>
        <v>0</v>
      </c>
      <c r="C20" s="1106"/>
      <c r="D20" s="1386">
        <f t="shared" si="4"/>
        <v>0</v>
      </c>
      <c r="E20" s="1386">
        <f t="shared" si="5"/>
        <v>0</v>
      </c>
      <c r="F20" s="1386">
        <f t="shared" si="6"/>
        <v>0</v>
      </c>
      <c r="G20" s="1386">
        <f t="shared" si="7"/>
        <v>0</v>
      </c>
      <c r="H20" s="1387">
        <f t="shared" si="8"/>
        <v>0</v>
      </c>
      <c r="I20" s="1388">
        <f t="shared" si="9"/>
        <v>0</v>
      </c>
      <c r="J20" s="1387">
        <f t="shared" si="10"/>
        <v>0</v>
      </c>
      <c r="K20" s="1386">
        <f t="shared" si="11"/>
        <v>0</v>
      </c>
      <c r="L20" s="1389">
        <f t="shared" si="12"/>
        <v>0</v>
      </c>
      <c r="M20" s="1386">
        <f t="shared" si="13"/>
        <v>0</v>
      </c>
      <c r="N20" s="1387">
        <f t="shared" si="14"/>
        <v>0</v>
      </c>
      <c r="O20" s="1387">
        <f t="shared" si="32"/>
        <v>0</v>
      </c>
      <c r="P20" s="1387">
        <f t="shared" si="15"/>
        <v>0</v>
      </c>
      <c r="Q20" s="1387">
        <f t="shared" si="16"/>
        <v>0</v>
      </c>
      <c r="R20" s="1390">
        <f t="shared" si="33"/>
        <v>0</v>
      </c>
      <c r="S20" s="1387">
        <f t="shared" si="17"/>
        <v>0</v>
      </c>
      <c r="T20" s="1387">
        <f t="shared" si="18"/>
        <v>0</v>
      </c>
      <c r="U20" s="1386">
        <f t="shared" si="19"/>
        <v>0</v>
      </c>
      <c r="V20" s="1387">
        <f t="shared" si="20"/>
        <v>0</v>
      </c>
      <c r="W20" s="1386">
        <f t="shared" si="21"/>
        <v>0</v>
      </c>
      <c r="X20" s="1386">
        <f t="shared" si="22"/>
        <v>0</v>
      </c>
      <c r="Y20" s="1386">
        <f t="shared" si="23"/>
        <v>0</v>
      </c>
      <c r="Z20" s="1386">
        <f t="shared" si="24"/>
        <v>0</v>
      </c>
      <c r="AA20" s="1391">
        <f t="shared" si="25"/>
        <v>0</v>
      </c>
      <c r="AB20" s="1391">
        <f t="shared" si="26"/>
        <v>0</v>
      </c>
      <c r="AC20" s="1391">
        <f t="shared" si="27"/>
        <v>0</v>
      </c>
      <c r="AD20" s="1392" t="e">
        <f t="shared" si="28"/>
        <v>#DIV/0!</v>
      </c>
      <c r="AE20" s="283"/>
      <c r="AF20" s="284"/>
      <c r="AG20" s="284"/>
      <c r="AH20" s="284"/>
      <c r="AI20" s="284"/>
      <c r="AJ20" s="284"/>
      <c r="AK20" s="284"/>
      <c r="AL20" s="103"/>
      <c r="AM20" s="104"/>
      <c r="AN20" s="1038"/>
      <c r="AO20" s="322">
        <f t="shared" si="29"/>
        <v>0</v>
      </c>
      <c r="AP20" s="105">
        <f t="shared" si="45"/>
        <v>0</v>
      </c>
      <c r="AQ20" s="105">
        <f t="shared" si="46"/>
        <v>0</v>
      </c>
      <c r="AR20" s="105">
        <f t="shared" si="47"/>
        <v>0</v>
      </c>
      <c r="AS20" s="105">
        <f t="shared" si="48"/>
        <v>0</v>
      </c>
      <c r="AT20" s="105">
        <f t="shared" si="49"/>
        <v>0</v>
      </c>
      <c r="AU20" s="105">
        <f t="shared" si="50"/>
        <v>0</v>
      </c>
      <c r="AV20" s="105">
        <f t="shared" si="51"/>
        <v>0</v>
      </c>
      <c r="AW20" s="105">
        <f t="shared" si="52"/>
        <v>0</v>
      </c>
      <c r="AX20" s="323">
        <f t="shared" si="53"/>
        <v>0</v>
      </c>
      <c r="AY20" s="1048"/>
      <c r="AZ20" s="110">
        <f t="shared" si="35"/>
        <v>0</v>
      </c>
      <c r="BA20" s="111">
        <f t="shared" si="36"/>
        <v>0</v>
      </c>
      <c r="BB20" s="111">
        <f t="shared" si="37"/>
        <v>0</v>
      </c>
      <c r="BC20" s="111">
        <f t="shared" si="38"/>
        <v>0</v>
      </c>
      <c r="BD20" s="111">
        <f t="shared" si="39"/>
        <v>0</v>
      </c>
      <c r="BE20" s="111">
        <f t="shared" si="40"/>
        <v>0</v>
      </c>
      <c r="BF20" s="111">
        <f t="shared" si="41"/>
        <v>0</v>
      </c>
      <c r="BG20" s="111">
        <f t="shared" si="42"/>
        <v>0</v>
      </c>
      <c r="BH20" s="112">
        <f t="shared" si="43"/>
        <v>0</v>
      </c>
      <c r="BI20" s="113">
        <f t="shared" si="44"/>
        <v>0</v>
      </c>
    </row>
    <row r="21" spans="1:61" ht="20.25" customHeight="1" x14ac:dyDescent="0.2">
      <c r="A21" s="1402">
        <v>279</v>
      </c>
      <c r="B21" s="1103">
        <f t="shared" si="3"/>
        <v>0</v>
      </c>
      <c r="C21" s="1106"/>
      <c r="D21" s="1386">
        <f t="shared" si="4"/>
        <v>0</v>
      </c>
      <c r="E21" s="1386">
        <f t="shared" si="5"/>
        <v>0</v>
      </c>
      <c r="F21" s="1386">
        <f t="shared" si="6"/>
        <v>0</v>
      </c>
      <c r="G21" s="1386">
        <f t="shared" si="7"/>
        <v>0</v>
      </c>
      <c r="H21" s="1387">
        <f t="shared" si="8"/>
        <v>0</v>
      </c>
      <c r="I21" s="1388">
        <f t="shared" si="9"/>
        <v>0</v>
      </c>
      <c r="J21" s="1387">
        <f t="shared" si="10"/>
        <v>0</v>
      </c>
      <c r="K21" s="1386">
        <f t="shared" si="11"/>
        <v>0</v>
      </c>
      <c r="L21" s="1389">
        <f t="shared" si="12"/>
        <v>0</v>
      </c>
      <c r="M21" s="1386">
        <f t="shared" si="13"/>
        <v>0</v>
      </c>
      <c r="N21" s="1387">
        <f t="shared" si="14"/>
        <v>0</v>
      </c>
      <c r="O21" s="1387">
        <f t="shared" si="32"/>
        <v>0</v>
      </c>
      <c r="P21" s="1387">
        <f t="shared" si="15"/>
        <v>0</v>
      </c>
      <c r="Q21" s="1387">
        <f t="shared" si="16"/>
        <v>0</v>
      </c>
      <c r="R21" s="1390">
        <f t="shared" si="33"/>
        <v>0</v>
      </c>
      <c r="S21" s="1387">
        <f t="shared" si="17"/>
        <v>0</v>
      </c>
      <c r="T21" s="1387">
        <f t="shared" si="18"/>
        <v>0</v>
      </c>
      <c r="U21" s="1386">
        <f t="shared" si="19"/>
        <v>0</v>
      </c>
      <c r="V21" s="1387">
        <f t="shared" si="20"/>
        <v>0</v>
      </c>
      <c r="W21" s="1386">
        <f t="shared" si="21"/>
        <v>0</v>
      </c>
      <c r="X21" s="1386">
        <f t="shared" si="22"/>
        <v>0</v>
      </c>
      <c r="Y21" s="1386">
        <f t="shared" si="23"/>
        <v>0</v>
      </c>
      <c r="Z21" s="1386">
        <f t="shared" si="24"/>
        <v>0</v>
      </c>
      <c r="AA21" s="1391">
        <f t="shared" si="25"/>
        <v>0</v>
      </c>
      <c r="AB21" s="1391">
        <f t="shared" si="26"/>
        <v>0</v>
      </c>
      <c r="AC21" s="1391">
        <f t="shared" si="27"/>
        <v>0</v>
      </c>
      <c r="AD21" s="1392" t="e">
        <f t="shared" si="28"/>
        <v>#DIV/0!</v>
      </c>
      <c r="AE21" s="283"/>
      <c r="AF21" s="284"/>
      <c r="AG21" s="284"/>
      <c r="AH21" s="284"/>
      <c r="AI21" s="284"/>
      <c r="AJ21" s="284"/>
      <c r="AK21" s="284"/>
      <c r="AL21" s="103"/>
      <c r="AM21" s="104"/>
      <c r="AN21" s="1038"/>
      <c r="AO21" s="322">
        <f t="shared" si="29"/>
        <v>0</v>
      </c>
      <c r="AP21" s="105">
        <f t="shared" si="45"/>
        <v>0</v>
      </c>
      <c r="AQ21" s="105">
        <f t="shared" si="46"/>
        <v>0</v>
      </c>
      <c r="AR21" s="105">
        <f t="shared" si="47"/>
        <v>0</v>
      </c>
      <c r="AS21" s="105">
        <f t="shared" si="48"/>
        <v>0</v>
      </c>
      <c r="AT21" s="105">
        <f t="shared" si="49"/>
        <v>0</v>
      </c>
      <c r="AU21" s="105">
        <f t="shared" si="50"/>
        <v>0</v>
      </c>
      <c r="AV21" s="105">
        <f t="shared" si="51"/>
        <v>0</v>
      </c>
      <c r="AW21" s="105">
        <f t="shared" si="52"/>
        <v>0</v>
      </c>
      <c r="AX21" s="323">
        <f t="shared" si="53"/>
        <v>0</v>
      </c>
      <c r="AY21" s="1048"/>
      <c r="AZ21" s="110">
        <f t="shared" si="35"/>
        <v>0</v>
      </c>
      <c r="BA21" s="111">
        <f t="shared" si="36"/>
        <v>0</v>
      </c>
      <c r="BB21" s="111">
        <f t="shared" si="37"/>
        <v>0</v>
      </c>
      <c r="BC21" s="111">
        <f t="shared" si="38"/>
        <v>0</v>
      </c>
      <c r="BD21" s="111">
        <f t="shared" si="39"/>
        <v>0</v>
      </c>
      <c r="BE21" s="111">
        <f t="shared" si="40"/>
        <v>0</v>
      </c>
      <c r="BF21" s="111">
        <f t="shared" si="41"/>
        <v>0</v>
      </c>
      <c r="BG21" s="111">
        <f t="shared" si="42"/>
        <v>0</v>
      </c>
      <c r="BH21" s="112">
        <f t="shared" si="43"/>
        <v>0</v>
      </c>
      <c r="BI21" s="113">
        <f t="shared" si="44"/>
        <v>0</v>
      </c>
    </row>
    <row r="22" spans="1:61" ht="20.25" customHeight="1" x14ac:dyDescent="0.2">
      <c r="A22" s="1402">
        <v>278</v>
      </c>
      <c r="B22" s="1103">
        <f t="shared" si="3"/>
        <v>0</v>
      </c>
      <c r="C22" s="1106"/>
      <c r="D22" s="1386">
        <f t="shared" si="4"/>
        <v>0</v>
      </c>
      <c r="E22" s="1386">
        <f t="shared" si="5"/>
        <v>0</v>
      </c>
      <c r="F22" s="1386">
        <f t="shared" si="6"/>
        <v>0</v>
      </c>
      <c r="G22" s="1386">
        <f t="shared" si="7"/>
        <v>0</v>
      </c>
      <c r="H22" s="1387">
        <f t="shared" si="8"/>
        <v>0</v>
      </c>
      <c r="I22" s="1388">
        <f t="shared" si="9"/>
        <v>0</v>
      </c>
      <c r="J22" s="1387">
        <f t="shared" si="10"/>
        <v>0</v>
      </c>
      <c r="K22" s="1386">
        <f t="shared" si="11"/>
        <v>0</v>
      </c>
      <c r="L22" s="1389">
        <f t="shared" si="12"/>
        <v>0</v>
      </c>
      <c r="M22" s="1386">
        <f t="shared" si="13"/>
        <v>0</v>
      </c>
      <c r="N22" s="1387">
        <f t="shared" si="14"/>
        <v>0</v>
      </c>
      <c r="O22" s="1387">
        <f t="shared" si="32"/>
        <v>0</v>
      </c>
      <c r="P22" s="1387">
        <f t="shared" si="15"/>
        <v>0</v>
      </c>
      <c r="Q22" s="1387">
        <f t="shared" si="16"/>
        <v>0</v>
      </c>
      <c r="R22" s="1390">
        <f t="shared" si="33"/>
        <v>0</v>
      </c>
      <c r="S22" s="1387">
        <f t="shared" si="17"/>
        <v>0</v>
      </c>
      <c r="T22" s="1387">
        <f t="shared" si="18"/>
        <v>0</v>
      </c>
      <c r="U22" s="1386">
        <f t="shared" si="19"/>
        <v>0</v>
      </c>
      <c r="V22" s="1387">
        <f t="shared" si="20"/>
        <v>0</v>
      </c>
      <c r="W22" s="1386">
        <f t="shared" si="21"/>
        <v>0</v>
      </c>
      <c r="X22" s="1386">
        <f t="shared" si="22"/>
        <v>0</v>
      </c>
      <c r="Y22" s="1386">
        <f t="shared" si="23"/>
        <v>0</v>
      </c>
      <c r="Z22" s="1386">
        <f t="shared" si="24"/>
        <v>0</v>
      </c>
      <c r="AA22" s="1391">
        <f t="shared" si="25"/>
        <v>0</v>
      </c>
      <c r="AB22" s="1391">
        <f t="shared" si="26"/>
        <v>0</v>
      </c>
      <c r="AC22" s="1391">
        <f t="shared" si="27"/>
        <v>0</v>
      </c>
      <c r="AD22" s="1392" t="e">
        <f>INDEX(Tabelle,$A22,27)/E22</f>
        <v>#DIV/0!</v>
      </c>
      <c r="AE22" s="283"/>
      <c r="AF22" s="284"/>
      <c r="AG22" s="284"/>
      <c r="AH22" s="284"/>
      <c r="AI22" s="284"/>
      <c r="AJ22" s="284"/>
      <c r="AK22" s="284"/>
      <c r="AL22" s="103"/>
      <c r="AM22" s="114"/>
      <c r="AN22" s="1038"/>
      <c r="AO22" s="322">
        <f t="shared" si="29"/>
        <v>0</v>
      </c>
      <c r="AP22" s="105">
        <f t="shared" si="45"/>
        <v>0</v>
      </c>
      <c r="AQ22" s="105">
        <f t="shared" ref="AQ22:AX24" si="54">IF(AF22=0,0,IF(AF$3="TM",AF22/$E22*100,AF22))</f>
        <v>0</v>
      </c>
      <c r="AR22" s="105">
        <f t="shared" si="54"/>
        <v>0</v>
      </c>
      <c r="AS22" s="105">
        <f t="shared" si="54"/>
        <v>0</v>
      </c>
      <c r="AT22" s="105">
        <f t="shared" si="54"/>
        <v>0</v>
      </c>
      <c r="AU22" s="105">
        <f t="shared" si="54"/>
        <v>0</v>
      </c>
      <c r="AV22" s="105">
        <f t="shared" si="54"/>
        <v>0</v>
      </c>
      <c r="AW22" s="105">
        <f t="shared" si="54"/>
        <v>0</v>
      </c>
      <c r="AX22" s="323">
        <f t="shared" si="54"/>
        <v>0</v>
      </c>
      <c r="AY22" s="1048"/>
      <c r="AZ22" s="110">
        <f t="shared" si="35"/>
        <v>0</v>
      </c>
      <c r="BA22" s="111">
        <f t="shared" si="36"/>
        <v>0</v>
      </c>
      <c r="BB22" s="111">
        <f t="shared" si="37"/>
        <v>0</v>
      </c>
      <c r="BC22" s="111">
        <f t="shared" si="38"/>
        <v>0</v>
      </c>
      <c r="BD22" s="111">
        <f t="shared" si="39"/>
        <v>0</v>
      </c>
      <c r="BE22" s="111">
        <f t="shared" si="40"/>
        <v>0</v>
      </c>
      <c r="BF22" s="111">
        <f t="shared" si="41"/>
        <v>0</v>
      </c>
      <c r="BG22" s="111">
        <f t="shared" si="42"/>
        <v>0</v>
      </c>
      <c r="BH22" s="112">
        <f t="shared" si="43"/>
        <v>0</v>
      </c>
      <c r="BI22" s="113">
        <f t="shared" si="44"/>
        <v>0</v>
      </c>
    </row>
    <row r="23" spans="1:61" ht="20.25" customHeight="1" x14ac:dyDescent="0.2">
      <c r="A23" s="1402">
        <v>254</v>
      </c>
      <c r="B23" s="1103">
        <f t="shared" si="3"/>
        <v>0</v>
      </c>
      <c r="C23" s="1106"/>
      <c r="D23" s="1386">
        <f t="shared" si="4"/>
        <v>0</v>
      </c>
      <c r="E23" s="1386">
        <f t="shared" si="5"/>
        <v>0</v>
      </c>
      <c r="F23" s="1386">
        <f t="shared" si="6"/>
        <v>0</v>
      </c>
      <c r="G23" s="1386">
        <f t="shared" si="7"/>
        <v>0</v>
      </c>
      <c r="H23" s="1387">
        <f t="shared" si="8"/>
        <v>0</v>
      </c>
      <c r="I23" s="1388">
        <f t="shared" si="9"/>
        <v>0</v>
      </c>
      <c r="J23" s="1387">
        <f t="shared" si="10"/>
        <v>0</v>
      </c>
      <c r="K23" s="1386">
        <f t="shared" si="11"/>
        <v>0</v>
      </c>
      <c r="L23" s="1389">
        <f t="shared" si="12"/>
        <v>0</v>
      </c>
      <c r="M23" s="1386">
        <f t="shared" si="13"/>
        <v>0</v>
      </c>
      <c r="N23" s="1387">
        <f t="shared" si="14"/>
        <v>0</v>
      </c>
      <c r="O23" s="1387">
        <f t="shared" si="32"/>
        <v>0</v>
      </c>
      <c r="P23" s="1387">
        <f t="shared" si="15"/>
        <v>0</v>
      </c>
      <c r="Q23" s="1387">
        <f t="shared" si="16"/>
        <v>0</v>
      </c>
      <c r="R23" s="1390">
        <f t="shared" si="33"/>
        <v>0</v>
      </c>
      <c r="S23" s="1387">
        <f t="shared" si="17"/>
        <v>0</v>
      </c>
      <c r="T23" s="1387">
        <f t="shared" si="18"/>
        <v>0</v>
      </c>
      <c r="U23" s="1386">
        <f t="shared" si="19"/>
        <v>0</v>
      </c>
      <c r="V23" s="1387">
        <f t="shared" si="20"/>
        <v>0</v>
      </c>
      <c r="W23" s="1386">
        <f t="shared" si="21"/>
        <v>0</v>
      </c>
      <c r="X23" s="1386">
        <f t="shared" si="22"/>
        <v>0</v>
      </c>
      <c r="Y23" s="1386">
        <f t="shared" si="23"/>
        <v>0</v>
      </c>
      <c r="Z23" s="1386">
        <f t="shared" si="24"/>
        <v>0</v>
      </c>
      <c r="AA23" s="1391">
        <f t="shared" si="25"/>
        <v>0</v>
      </c>
      <c r="AB23" s="1391">
        <f t="shared" si="26"/>
        <v>0</v>
      </c>
      <c r="AC23" s="1391">
        <f t="shared" si="27"/>
        <v>0</v>
      </c>
      <c r="AD23" s="1392" t="e">
        <f>INDEX(Tabelle,$A23,27)/E23</f>
        <v>#DIV/0!</v>
      </c>
      <c r="AE23" s="283"/>
      <c r="AF23" s="284"/>
      <c r="AG23" s="284"/>
      <c r="AH23" s="284"/>
      <c r="AI23" s="284"/>
      <c r="AJ23" s="284"/>
      <c r="AK23" s="284"/>
      <c r="AL23" s="103"/>
      <c r="AM23" s="114"/>
      <c r="AN23" s="1038"/>
      <c r="AO23" s="322">
        <f t="shared" si="29"/>
        <v>0</v>
      </c>
      <c r="AP23" s="105">
        <f t="shared" si="45"/>
        <v>0</v>
      </c>
      <c r="AQ23" s="105">
        <f t="shared" si="54"/>
        <v>0</v>
      </c>
      <c r="AR23" s="105">
        <f t="shared" si="54"/>
        <v>0</v>
      </c>
      <c r="AS23" s="105">
        <f t="shared" si="54"/>
        <v>0</v>
      </c>
      <c r="AT23" s="105">
        <f t="shared" si="54"/>
        <v>0</v>
      </c>
      <c r="AU23" s="105">
        <f t="shared" si="54"/>
        <v>0</v>
      </c>
      <c r="AV23" s="105">
        <f t="shared" si="54"/>
        <v>0</v>
      </c>
      <c r="AW23" s="105">
        <f t="shared" si="54"/>
        <v>0</v>
      </c>
      <c r="AX23" s="323">
        <f t="shared" si="54"/>
        <v>0</v>
      </c>
      <c r="AY23" s="1048"/>
      <c r="AZ23" s="110">
        <f t="shared" si="35"/>
        <v>0</v>
      </c>
      <c r="BA23" s="111">
        <f t="shared" si="36"/>
        <v>0</v>
      </c>
      <c r="BB23" s="111">
        <f t="shared" si="37"/>
        <v>0</v>
      </c>
      <c r="BC23" s="111">
        <f t="shared" si="38"/>
        <v>0</v>
      </c>
      <c r="BD23" s="111">
        <f t="shared" si="39"/>
        <v>0</v>
      </c>
      <c r="BE23" s="111">
        <f t="shared" si="40"/>
        <v>0</v>
      </c>
      <c r="BF23" s="111">
        <f t="shared" si="41"/>
        <v>0</v>
      </c>
      <c r="BG23" s="111">
        <f t="shared" si="42"/>
        <v>0</v>
      </c>
      <c r="BH23" s="112">
        <f t="shared" si="43"/>
        <v>0</v>
      </c>
      <c r="BI23" s="113">
        <f t="shared" si="44"/>
        <v>0</v>
      </c>
    </row>
    <row r="24" spans="1:61" ht="20.25" customHeight="1" thickBot="1" x14ac:dyDescent="0.25">
      <c r="A24" s="1402">
        <v>63</v>
      </c>
      <c r="B24" s="1393" t="s">
        <v>196</v>
      </c>
      <c r="C24" s="1394"/>
      <c r="D24" s="1395"/>
      <c r="E24" s="1395">
        <v>1E-3</v>
      </c>
      <c r="F24" s="1395">
        <v>0</v>
      </c>
      <c r="G24" s="1395">
        <v>0</v>
      </c>
      <c r="H24" s="1396">
        <v>0</v>
      </c>
      <c r="I24" s="1397">
        <v>0</v>
      </c>
      <c r="J24" s="1396">
        <v>0</v>
      </c>
      <c r="K24" s="1395">
        <v>0</v>
      </c>
      <c r="L24" s="1395"/>
      <c r="M24" s="1395"/>
      <c r="N24" s="1396">
        <v>0</v>
      </c>
      <c r="O24" s="1396">
        <v>0</v>
      </c>
      <c r="P24" s="1396">
        <v>0</v>
      </c>
      <c r="Q24" s="1396">
        <v>0</v>
      </c>
      <c r="R24" s="1398">
        <v>0</v>
      </c>
      <c r="S24" s="1396">
        <v>0</v>
      </c>
      <c r="T24" s="1396">
        <v>0</v>
      </c>
      <c r="U24" s="1395">
        <v>0</v>
      </c>
      <c r="V24" s="1396">
        <v>0</v>
      </c>
      <c r="W24" s="1395">
        <v>0</v>
      </c>
      <c r="X24" s="1395">
        <v>0</v>
      </c>
      <c r="Y24" s="1395">
        <v>0</v>
      </c>
      <c r="Z24" s="1395">
        <v>0</v>
      </c>
      <c r="AA24" s="1391">
        <v>0</v>
      </c>
      <c r="AB24" s="1391">
        <v>0</v>
      </c>
      <c r="AC24" s="1391"/>
      <c r="AD24" s="1392">
        <f>2/1000</f>
        <v>2E-3</v>
      </c>
      <c r="AE24" s="115"/>
      <c r="AF24" s="116"/>
      <c r="AG24" s="116"/>
      <c r="AH24" s="116"/>
      <c r="AI24" s="116"/>
      <c r="AJ24" s="116"/>
      <c r="AK24" s="116"/>
      <c r="AL24" s="117"/>
      <c r="AM24" s="118"/>
      <c r="AN24" s="1038"/>
      <c r="AO24" s="325" t="str">
        <f t="shared" si="29"/>
        <v>Wasser</v>
      </c>
      <c r="AP24" s="119">
        <f t="shared" si="45"/>
        <v>0</v>
      </c>
      <c r="AQ24" s="119">
        <f t="shared" si="54"/>
        <v>0</v>
      </c>
      <c r="AR24" s="119">
        <f t="shared" si="54"/>
        <v>0</v>
      </c>
      <c r="AS24" s="119">
        <f t="shared" si="54"/>
        <v>0</v>
      </c>
      <c r="AT24" s="119">
        <f t="shared" si="54"/>
        <v>0</v>
      </c>
      <c r="AU24" s="119">
        <f t="shared" si="54"/>
        <v>0</v>
      </c>
      <c r="AV24" s="119">
        <f t="shared" si="54"/>
        <v>0</v>
      </c>
      <c r="AW24" s="119">
        <f t="shared" si="54"/>
        <v>0</v>
      </c>
      <c r="AX24" s="324">
        <f t="shared" si="54"/>
        <v>0</v>
      </c>
      <c r="AY24" s="1048"/>
      <c r="AZ24" s="120">
        <f t="shared" si="35"/>
        <v>0</v>
      </c>
      <c r="BA24" s="121">
        <f t="shared" si="36"/>
        <v>0</v>
      </c>
      <c r="BB24" s="121">
        <f t="shared" si="37"/>
        <v>0</v>
      </c>
      <c r="BC24" s="121">
        <f t="shared" si="38"/>
        <v>0</v>
      </c>
      <c r="BD24" s="121">
        <f t="shared" si="39"/>
        <v>0</v>
      </c>
      <c r="BE24" s="121">
        <f t="shared" si="40"/>
        <v>0</v>
      </c>
      <c r="BF24" s="121">
        <f t="shared" si="41"/>
        <v>0</v>
      </c>
      <c r="BG24" s="121">
        <f t="shared" si="42"/>
        <v>0</v>
      </c>
      <c r="BH24" s="122">
        <f t="shared" si="43"/>
        <v>0</v>
      </c>
      <c r="BI24" s="123">
        <f t="shared" si="44"/>
        <v>0</v>
      </c>
    </row>
    <row r="25" spans="1:61" ht="20.25" customHeight="1" thickBot="1" x14ac:dyDescent="0.25">
      <c r="A25" s="1402"/>
      <c r="B25" s="1472" t="s">
        <v>202</v>
      </c>
      <c r="C25" s="1472"/>
      <c r="D25" s="1399"/>
      <c r="E25" s="1399"/>
      <c r="F25" s="1399"/>
      <c r="G25" s="1399"/>
      <c r="H25" s="1399"/>
      <c r="I25" s="1399"/>
      <c r="J25" s="1399"/>
      <c r="K25" s="1399"/>
      <c r="L25" s="1399"/>
      <c r="M25" s="1399"/>
      <c r="N25" s="1399"/>
      <c r="O25" s="1399"/>
      <c r="P25" s="1399"/>
      <c r="Q25" s="1399"/>
      <c r="R25" s="1399"/>
      <c r="S25" s="1399"/>
      <c r="T25" s="1399"/>
      <c r="U25" s="1399"/>
      <c r="V25" s="1399"/>
      <c r="W25" s="1399"/>
      <c r="X25" s="1399"/>
      <c r="Y25" s="1399"/>
      <c r="Z25" s="1399"/>
      <c r="AA25" s="1399"/>
      <c r="AB25" s="1399"/>
      <c r="AC25" s="1399"/>
      <c r="AD25" s="1399"/>
      <c r="AE25" s="317"/>
      <c r="AF25" s="286"/>
      <c r="AG25" s="286"/>
      <c r="AH25" s="286"/>
      <c r="AI25" s="286"/>
      <c r="AJ25" s="286"/>
      <c r="AK25" s="286"/>
      <c r="AL25" s="286"/>
      <c r="AM25" s="318"/>
      <c r="AN25" s="1049"/>
      <c r="AO25" s="1050" t="s">
        <v>198</v>
      </c>
      <c r="AP25" s="1051">
        <f>SUM(AP4:AP24)</f>
        <v>0</v>
      </c>
      <c r="AQ25" s="1051">
        <f t="shared" ref="AQ25:AX25" si="55">SUM(AQ4:AQ24)</f>
        <v>0</v>
      </c>
      <c r="AR25" s="1051">
        <f t="shared" si="55"/>
        <v>0</v>
      </c>
      <c r="AS25" s="1051">
        <f t="shared" si="55"/>
        <v>0</v>
      </c>
      <c r="AT25" s="1051">
        <f t="shared" si="55"/>
        <v>0</v>
      </c>
      <c r="AU25" s="1051">
        <f t="shared" si="55"/>
        <v>0</v>
      </c>
      <c r="AV25" s="1051">
        <f t="shared" si="55"/>
        <v>0</v>
      </c>
      <c r="AW25" s="1051">
        <f t="shared" si="55"/>
        <v>0</v>
      </c>
      <c r="AX25" s="1052">
        <f t="shared" si="55"/>
        <v>0</v>
      </c>
      <c r="AY25" s="1037"/>
      <c r="AZ25" s="1053">
        <f>SUM(AZ4:AZ24)</f>
        <v>0</v>
      </c>
      <c r="BA25" s="1054">
        <f t="shared" ref="BA25:BI25" si="56">SUM(BA4:BA24)</f>
        <v>0</v>
      </c>
      <c r="BB25" s="1054">
        <f t="shared" si="56"/>
        <v>0</v>
      </c>
      <c r="BC25" s="1054">
        <f t="shared" si="56"/>
        <v>0</v>
      </c>
      <c r="BD25" s="1054">
        <f t="shared" si="56"/>
        <v>0</v>
      </c>
      <c r="BE25" s="1054">
        <f t="shared" si="56"/>
        <v>0</v>
      </c>
      <c r="BF25" s="1054">
        <f t="shared" si="56"/>
        <v>0</v>
      </c>
      <c r="BG25" s="1054">
        <f t="shared" si="56"/>
        <v>0</v>
      </c>
      <c r="BH25" s="1054">
        <f t="shared" si="56"/>
        <v>0</v>
      </c>
      <c r="BI25" s="1055">
        <f t="shared" si="56"/>
        <v>0</v>
      </c>
    </row>
    <row r="26" spans="1:61" ht="20.25" customHeight="1" x14ac:dyDescent="0.2">
      <c r="A26" s="1036"/>
      <c r="B26" s="1047"/>
      <c r="C26" s="1047"/>
      <c r="D26" s="1056"/>
      <c r="E26" s="1056"/>
      <c r="F26" s="1056"/>
      <c r="G26" s="1056"/>
      <c r="H26" s="1056"/>
      <c r="I26" s="1056"/>
      <c r="J26" s="1056"/>
      <c r="K26" s="1056"/>
      <c r="L26" s="1056"/>
      <c r="M26" s="1056"/>
      <c r="N26" s="1056"/>
      <c r="O26" s="1056"/>
      <c r="P26" s="1056"/>
      <c r="Q26" s="1049"/>
      <c r="R26" s="1049"/>
      <c r="S26" s="1049"/>
      <c r="T26" s="1049"/>
      <c r="U26" s="1049"/>
      <c r="V26" s="1049"/>
      <c r="W26" s="1049"/>
      <c r="X26" s="1049"/>
      <c r="Y26" s="1049"/>
      <c r="Z26" s="1049"/>
      <c r="AA26" s="1049"/>
      <c r="AB26" s="1049"/>
      <c r="AC26" s="1049"/>
      <c r="AD26" s="1049"/>
      <c r="AE26" s="1049"/>
      <c r="AF26" s="1049"/>
      <c r="AG26" s="1049"/>
      <c r="AH26" s="1049"/>
      <c r="AI26" s="1049"/>
      <c r="AJ26" s="1049"/>
      <c r="AK26" s="1049"/>
      <c r="AL26" s="1049"/>
      <c r="AM26" s="1049"/>
      <c r="AN26" s="1049"/>
      <c r="AO26" s="1057" t="s">
        <v>197</v>
      </c>
      <c r="AP26" s="1058">
        <f>(AP$4*$E$4+AP$5*$E$5+AP$6*$E$6+AP$7*$E$7+AP$8*$E$8+AP$9*$E$9+AP$10*$E$10+AP$11*$E$11+AP$12*$E$12+AP$13*$E$13+AP$14*$E$14+AP$15*$E$15+AP$16*$E$16+AP$17*$E$17+AP$18*$E$18+AP$19*$E$19+AP$20*$E$20+AP$21*$E$21+AP$22*$E$22+AP$23*$E$23+AP$24*$E$24)/100</f>
        <v>0</v>
      </c>
      <c r="AQ26" s="1058">
        <f t="shared" ref="AQ26:AX26" si="57">(AQ$4*$E$4+AQ$5*$E$5+AQ$6*$E$6+AQ$7*$E$7+AQ$8*$E$8+AQ$9*$E$9+AQ$10*$E$10+AQ$11*$E$11+AQ$12*$E$12+AQ$13*$E$13+AQ$14*$E$14+AQ$15*$E$15+AQ$16*$E$16+AQ$17*$E$17+AQ$18*$E$18+AQ$19*$E$19+AQ$20*$E$20+AQ$21*$E$21+AQ$22*$E$22+AQ$23*$E$23+AQ$24*$E$24)/100</f>
        <v>0</v>
      </c>
      <c r="AR26" s="1058">
        <f t="shared" si="57"/>
        <v>0</v>
      </c>
      <c r="AS26" s="1058">
        <f t="shared" si="57"/>
        <v>0</v>
      </c>
      <c r="AT26" s="1058">
        <f t="shared" si="57"/>
        <v>0</v>
      </c>
      <c r="AU26" s="1058">
        <f t="shared" si="57"/>
        <v>0</v>
      </c>
      <c r="AV26" s="1058">
        <f t="shared" si="57"/>
        <v>0</v>
      </c>
      <c r="AW26" s="1058">
        <f t="shared" si="57"/>
        <v>0</v>
      </c>
      <c r="AX26" s="1059">
        <f t="shared" si="57"/>
        <v>0</v>
      </c>
      <c r="AY26" s="1060" t="s">
        <v>537</v>
      </c>
      <c r="AZ26" s="1061">
        <f t="shared" ref="AZ26:BH26" si="58">IF(AP$26=0,0,AP55/AP$26)</f>
        <v>0</v>
      </c>
      <c r="BA26" s="1061">
        <f t="shared" si="58"/>
        <v>0</v>
      </c>
      <c r="BB26" s="1061">
        <f t="shared" si="58"/>
        <v>0</v>
      </c>
      <c r="BC26" s="1061">
        <f t="shared" si="58"/>
        <v>0</v>
      </c>
      <c r="BD26" s="1061">
        <f t="shared" si="58"/>
        <v>0</v>
      </c>
      <c r="BE26" s="1061">
        <f t="shared" si="58"/>
        <v>0</v>
      </c>
      <c r="BF26" s="1061">
        <f t="shared" si="58"/>
        <v>0</v>
      </c>
      <c r="BG26" s="1061">
        <f t="shared" si="58"/>
        <v>0</v>
      </c>
      <c r="BH26" s="1062">
        <f t="shared" si="58"/>
        <v>0</v>
      </c>
      <c r="BI26" s="1063"/>
    </row>
    <row r="27" spans="1:61" ht="20.25" customHeight="1" x14ac:dyDescent="0.2">
      <c r="A27" s="1036"/>
      <c r="B27" s="1047"/>
      <c r="C27" s="1047"/>
      <c r="D27" s="1056"/>
      <c r="E27" s="1056"/>
      <c r="F27" s="1056"/>
      <c r="G27" s="1056"/>
      <c r="H27" s="1056"/>
      <c r="I27" s="1056"/>
      <c r="J27" s="1056"/>
      <c r="K27" s="1056"/>
      <c r="L27" s="1056"/>
      <c r="M27" s="1056"/>
      <c r="N27" s="1056"/>
      <c r="O27" s="1056"/>
      <c r="P27" s="1056"/>
      <c r="Q27" s="1049"/>
      <c r="R27" s="1049"/>
      <c r="S27" s="1049"/>
      <c r="T27" s="1049"/>
      <c r="U27" s="1049"/>
      <c r="V27" s="1049"/>
      <c r="W27" s="1049"/>
      <c r="X27" s="1049"/>
      <c r="Y27" s="1049"/>
      <c r="Z27" s="1049"/>
      <c r="AA27" s="1049"/>
      <c r="AB27" s="1049"/>
      <c r="AC27" s="1049"/>
      <c r="AD27" s="1049"/>
      <c r="AE27" s="1049"/>
      <c r="AF27" s="1049"/>
      <c r="AG27" s="1049"/>
      <c r="AH27" s="1049"/>
      <c r="AI27" s="1049"/>
      <c r="AJ27" s="1049"/>
      <c r="AK27" s="1049"/>
      <c r="AL27" s="1049"/>
      <c r="AM27" s="1049"/>
      <c r="AN27" s="1049"/>
      <c r="AO27" s="1064" t="s">
        <v>310</v>
      </c>
      <c r="AP27" s="1065" t="str">
        <f>IF(AP26=0,"",AP26/AP25*100)</f>
        <v/>
      </c>
      <c r="AQ27" s="1065" t="str">
        <f t="shared" ref="AQ27:AX27" si="59">IF(AQ26=0,"",AQ26/AQ25*100)</f>
        <v/>
      </c>
      <c r="AR27" s="1065" t="str">
        <f t="shared" si="59"/>
        <v/>
      </c>
      <c r="AS27" s="1065" t="str">
        <f t="shared" si="59"/>
        <v/>
      </c>
      <c r="AT27" s="1065" t="str">
        <f t="shared" si="59"/>
        <v/>
      </c>
      <c r="AU27" s="1065" t="str">
        <f t="shared" si="59"/>
        <v/>
      </c>
      <c r="AV27" s="1065" t="str">
        <f t="shared" si="59"/>
        <v/>
      </c>
      <c r="AW27" s="1065" t="str">
        <f t="shared" si="59"/>
        <v/>
      </c>
      <c r="AX27" s="1066" t="str">
        <f t="shared" si="59"/>
        <v/>
      </c>
      <c r="AY27" s="1060" t="s">
        <v>211</v>
      </c>
      <c r="AZ27" s="1067">
        <f t="shared" ref="AZ27:BB28" si="60">IF(AP$26=0,0,AP57/AP$26)</f>
        <v>0</v>
      </c>
      <c r="BA27" s="1067">
        <f t="shared" si="60"/>
        <v>0</v>
      </c>
      <c r="BB27" s="1067">
        <f t="shared" si="60"/>
        <v>0</v>
      </c>
      <c r="BC27" s="1067">
        <f t="shared" ref="BC27:BH27" si="61">IF(AS$26=0,0,AS57/AS$26)</f>
        <v>0</v>
      </c>
      <c r="BD27" s="1067">
        <f t="shared" si="61"/>
        <v>0</v>
      </c>
      <c r="BE27" s="1067">
        <f t="shared" si="61"/>
        <v>0</v>
      </c>
      <c r="BF27" s="1067">
        <f t="shared" si="61"/>
        <v>0</v>
      </c>
      <c r="BG27" s="1067">
        <f t="shared" si="61"/>
        <v>0</v>
      </c>
      <c r="BH27" s="1068">
        <f t="shared" si="61"/>
        <v>0</v>
      </c>
      <c r="BI27" s="1069"/>
    </row>
    <row r="28" spans="1:61" ht="20.25" customHeight="1" x14ac:dyDescent="0.2">
      <c r="A28" s="1036"/>
      <c r="B28" s="1047"/>
      <c r="C28" s="1070"/>
      <c r="D28" s="1049"/>
      <c r="E28" s="1049"/>
      <c r="F28" s="1049"/>
      <c r="G28" s="1049"/>
      <c r="H28" s="1049"/>
      <c r="I28" s="1049"/>
      <c r="J28" s="1049"/>
      <c r="K28" s="1049"/>
      <c r="L28" s="1049"/>
      <c r="M28" s="1049"/>
      <c r="N28" s="1049"/>
      <c r="O28" s="1049"/>
      <c r="P28" s="1049"/>
      <c r="Q28" s="1049"/>
      <c r="R28" s="1049"/>
      <c r="S28" s="1049"/>
      <c r="T28" s="1049"/>
      <c r="U28" s="1049"/>
      <c r="V28" s="1049"/>
      <c r="W28" s="1049"/>
      <c r="X28" s="1049"/>
      <c r="Y28" s="1049"/>
      <c r="Z28" s="1049"/>
      <c r="AA28" s="1049"/>
      <c r="AB28" s="1049"/>
      <c r="AC28" s="1049"/>
      <c r="AD28" s="1049"/>
      <c r="AE28" s="1049"/>
      <c r="AF28" s="1049"/>
      <c r="AG28" s="1049"/>
      <c r="AH28" s="1049"/>
      <c r="AI28" s="1049"/>
      <c r="AJ28" s="1049"/>
      <c r="AK28" s="1049"/>
      <c r="AL28" s="1049"/>
      <c r="AM28" s="1049"/>
      <c r="AN28" s="1049"/>
      <c r="AO28" s="1064" t="s">
        <v>541</v>
      </c>
      <c r="AP28" s="1065" t="str">
        <f>IF((AP42-39.9)/3.28&lt;5,"-",(AP42-39.9)/3.28)</f>
        <v>-</v>
      </c>
      <c r="AQ28" s="1065" t="str">
        <f t="shared" ref="AQ28:AX28" si="62">IF((AQ42-39.9)/3.28&lt;5,"-",(AQ42-39.9)/3.28)</f>
        <v>-</v>
      </c>
      <c r="AR28" s="1065" t="str">
        <f t="shared" si="62"/>
        <v>-</v>
      </c>
      <c r="AS28" s="1065" t="str">
        <f t="shared" si="62"/>
        <v>-</v>
      </c>
      <c r="AT28" s="1065" t="str">
        <f t="shared" si="62"/>
        <v>-</v>
      </c>
      <c r="AU28" s="1065" t="str">
        <f t="shared" si="62"/>
        <v>-</v>
      </c>
      <c r="AV28" s="1065" t="str">
        <f t="shared" si="62"/>
        <v>-</v>
      </c>
      <c r="AW28" s="1065" t="str">
        <f t="shared" si="62"/>
        <v>-</v>
      </c>
      <c r="AX28" s="1066" t="str">
        <f t="shared" si="62"/>
        <v>-</v>
      </c>
      <c r="AY28" s="1060" t="s">
        <v>579</v>
      </c>
      <c r="AZ28" s="1067">
        <f t="shared" si="60"/>
        <v>0</v>
      </c>
      <c r="BA28" s="1067">
        <f t="shared" si="60"/>
        <v>0</v>
      </c>
      <c r="BB28" s="1067">
        <f t="shared" si="60"/>
        <v>0</v>
      </c>
      <c r="BC28" s="1067">
        <f t="shared" ref="BC28:BH28" si="63">IF(AS$26=0,0,AS58/AS$26)</f>
        <v>0</v>
      </c>
      <c r="BD28" s="1067">
        <f t="shared" si="63"/>
        <v>0</v>
      </c>
      <c r="BE28" s="1067">
        <f t="shared" si="63"/>
        <v>0</v>
      </c>
      <c r="BF28" s="1067">
        <f t="shared" si="63"/>
        <v>0</v>
      </c>
      <c r="BG28" s="1067">
        <f t="shared" si="63"/>
        <v>0</v>
      </c>
      <c r="BH28" s="1068">
        <f t="shared" si="63"/>
        <v>0</v>
      </c>
      <c r="BI28" s="1069"/>
    </row>
    <row r="29" spans="1:61" ht="20.25" customHeight="1" x14ac:dyDescent="0.2">
      <c r="A29" s="1036"/>
      <c r="B29" s="1047"/>
      <c r="C29" s="1047"/>
      <c r="D29" s="1049"/>
      <c r="E29" s="1049"/>
      <c r="F29" s="1049"/>
      <c r="G29" s="1049"/>
      <c r="H29" s="1049"/>
      <c r="I29" s="1049"/>
      <c r="J29" s="1049"/>
      <c r="K29" s="1049"/>
      <c r="L29" s="1049"/>
      <c r="M29" s="1049"/>
      <c r="N29" s="1049"/>
      <c r="O29" s="1049"/>
      <c r="P29" s="1049"/>
      <c r="Q29" s="1049"/>
      <c r="R29" s="1049"/>
      <c r="S29" s="1049"/>
      <c r="T29" s="1049"/>
      <c r="U29" s="1049"/>
      <c r="V29" s="1049"/>
      <c r="W29" s="1049"/>
      <c r="X29" s="1049"/>
      <c r="Y29" s="1049"/>
      <c r="Z29" s="1049"/>
      <c r="AA29" s="1049"/>
      <c r="AB29" s="1049"/>
      <c r="AC29" s="1049"/>
      <c r="AD29" s="1049"/>
      <c r="AE29" s="1049"/>
      <c r="AF29" s="1049"/>
      <c r="AG29" s="1049"/>
      <c r="AH29" s="1049"/>
      <c r="AI29" s="1049"/>
      <c r="AJ29" s="1049"/>
      <c r="AK29" s="1049"/>
      <c r="AL29" s="1049"/>
      <c r="AM29" s="1049"/>
      <c r="AN29" s="1049"/>
      <c r="AO29" s="1064" t="s">
        <v>542</v>
      </c>
      <c r="AP29" s="1065" t="str">
        <f>IF((AP48-470)/85&lt;5,"-",(AP48-470)/85)</f>
        <v>-</v>
      </c>
      <c r="AQ29" s="1065" t="str">
        <f t="shared" ref="AQ29:AX29" si="64">IF((AQ48-470)/85&lt;5,"-",(AQ48-470)/85)</f>
        <v>-</v>
      </c>
      <c r="AR29" s="1065" t="str">
        <f t="shared" si="64"/>
        <v>-</v>
      </c>
      <c r="AS29" s="1065" t="str">
        <f t="shared" si="64"/>
        <v>-</v>
      </c>
      <c r="AT29" s="1065" t="str">
        <f t="shared" si="64"/>
        <v>-</v>
      </c>
      <c r="AU29" s="1065" t="str">
        <f t="shared" si="64"/>
        <v>-</v>
      </c>
      <c r="AV29" s="1065" t="str">
        <f t="shared" si="64"/>
        <v>-</v>
      </c>
      <c r="AW29" s="1065" t="str">
        <f t="shared" si="64"/>
        <v>-</v>
      </c>
      <c r="AX29" s="1066" t="str">
        <f t="shared" si="64"/>
        <v>-</v>
      </c>
      <c r="AY29" s="1060" t="s">
        <v>544</v>
      </c>
      <c r="AZ29" s="1067">
        <f>IF(AP$26=0,0,AP60/AP$26)</f>
        <v>0</v>
      </c>
      <c r="BA29" s="1067">
        <f>IF(AQ$26=0,0,AQ60/AQ$26)</f>
        <v>0</v>
      </c>
      <c r="BB29" s="1067">
        <f>IF(AR$26=0,0,AR60/AR$26)</f>
        <v>0</v>
      </c>
      <c r="BC29" s="1067">
        <f t="shared" ref="BC29:BH29" si="65">IF(AS$26=0,0,AS60/AS$26)</f>
        <v>0</v>
      </c>
      <c r="BD29" s="1067">
        <f t="shared" si="65"/>
        <v>0</v>
      </c>
      <c r="BE29" s="1067">
        <f t="shared" si="65"/>
        <v>0</v>
      </c>
      <c r="BF29" s="1067">
        <f t="shared" si="65"/>
        <v>0</v>
      </c>
      <c r="BG29" s="1067">
        <f t="shared" si="65"/>
        <v>0</v>
      </c>
      <c r="BH29" s="1068">
        <f t="shared" si="65"/>
        <v>0</v>
      </c>
      <c r="BI29" s="1069"/>
    </row>
    <row r="30" spans="1:61" ht="20.25" customHeight="1" x14ac:dyDescent="0.2">
      <c r="A30" s="1036"/>
      <c r="B30" s="1047"/>
      <c r="C30" s="1047"/>
      <c r="D30" s="1049"/>
      <c r="E30" s="1049"/>
      <c r="F30" s="1049"/>
      <c r="G30" s="1049"/>
      <c r="H30" s="1049"/>
      <c r="I30" s="1049"/>
      <c r="J30" s="1049"/>
      <c r="K30" s="1049"/>
      <c r="L30" s="1049"/>
      <c r="M30" s="1049"/>
      <c r="N30" s="1049"/>
      <c r="O30" s="1049"/>
      <c r="P30" s="1049"/>
      <c r="Q30" s="1049"/>
      <c r="R30" s="1049"/>
      <c r="S30" s="1049"/>
      <c r="T30" s="1049"/>
      <c r="U30" s="1049"/>
      <c r="V30" s="1049"/>
      <c r="W30" s="1049"/>
      <c r="X30" s="1049"/>
      <c r="Y30" s="1049"/>
      <c r="Z30" s="1049"/>
      <c r="AA30" s="1049"/>
      <c r="AB30" s="1049"/>
      <c r="AC30" s="1049"/>
      <c r="AD30" s="1049"/>
      <c r="AE30" s="1049"/>
      <c r="AF30" s="1049"/>
      <c r="AG30" s="1049"/>
      <c r="AH30" s="1049"/>
      <c r="AI30" s="1049"/>
      <c r="AJ30" s="1049"/>
      <c r="AK30" s="1049"/>
      <c r="AL30" s="1071"/>
      <c r="AM30" s="1049"/>
      <c r="AN30" s="1049"/>
      <c r="AO30" s="1064" t="s">
        <v>199</v>
      </c>
      <c r="AP30" s="1072">
        <f t="shared" ref="AP30:AX30" si="66">IF(AP$26=0,0,AP42/AP$26)</f>
        <v>0</v>
      </c>
      <c r="AQ30" s="1072">
        <f t="shared" si="66"/>
        <v>0</v>
      </c>
      <c r="AR30" s="1072">
        <f t="shared" si="66"/>
        <v>0</v>
      </c>
      <c r="AS30" s="1072">
        <f t="shared" si="66"/>
        <v>0</v>
      </c>
      <c r="AT30" s="1072">
        <f t="shared" si="66"/>
        <v>0</v>
      </c>
      <c r="AU30" s="1072">
        <f t="shared" si="66"/>
        <v>0</v>
      </c>
      <c r="AV30" s="1072">
        <f t="shared" si="66"/>
        <v>0</v>
      </c>
      <c r="AW30" s="1072">
        <f t="shared" si="66"/>
        <v>0</v>
      </c>
      <c r="AX30" s="1073">
        <f t="shared" si="66"/>
        <v>0</v>
      </c>
      <c r="AY30" s="1060" t="s">
        <v>206</v>
      </c>
      <c r="AZ30" s="1074">
        <f t="shared" ref="AZ30:BH34" si="67">IF(AP$26=0,0,AP64/AP$26)</f>
        <v>0</v>
      </c>
      <c r="BA30" s="1074">
        <f t="shared" si="67"/>
        <v>0</v>
      </c>
      <c r="BB30" s="1074">
        <f t="shared" si="67"/>
        <v>0</v>
      </c>
      <c r="BC30" s="1074">
        <f t="shared" si="67"/>
        <v>0</v>
      </c>
      <c r="BD30" s="1074">
        <f t="shared" si="67"/>
        <v>0</v>
      </c>
      <c r="BE30" s="1074">
        <f t="shared" si="67"/>
        <v>0</v>
      </c>
      <c r="BF30" s="1074">
        <f t="shared" si="67"/>
        <v>0</v>
      </c>
      <c r="BG30" s="1074">
        <f t="shared" si="67"/>
        <v>0</v>
      </c>
      <c r="BH30" s="1075">
        <f t="shared" si="67"/>
        <v>0</v>
      </c>
      <c r="BI30" s="1069"/>
    </row>
    <row r="31" spans="1:61" ht="20.25" customHeight="1" x14ac:dyDescent="0.2">
      <c r="A31" s="1036"/>
      <c r="B31" s="1047"/>
      <c r="C31" s="1047"/>
      <c r="D31" s="1049"/>
      <c r="E31" s="1049"/>
      <c r="F31" s="1049"/>
      <c r="G31" s="1049"/>
      <c r="H31" s="1049"/>
      <c r="I31" s="1049"/>
      <c r="J31" s="1049"/>
      <c r="K31" s="1049"/>
      <c r="L31" s="1049"/>
      <c r="M31" s="1049"/>
      <c r="N31" s="1049"/>
      <c r="O31" s="1049"/>
      <c r="P31" s="1049"/>
      <c r="Q31" s="1049"/>
      <c r="R31" s="1049"/>
      <c r="S31" s="1049"/>
      <c r="T31" s="1049"/>
      <c r="U31" s="1049"/>
      <c r="V31" s="1049"/>
      <c r="W31" s="1049"/>
      <c r="X31" s="1049"/>
      <c r="Y31" s="1049"/>
      <c r="Z31" s="1049"/>
      <c r="AA31" s="1049"/>
      <c r="AB31" s="1049"/>
      <c r="AC31" s="1049"/>
      <c r="AD31" s="1049"/>
      <c r="AE31" s="1049"/>
      <c r="AF31" s="1049"/>
      <c r="AG31" s="1049"/>
      <c r="AH31" s="1049"/>
      <c r="AI31" s="1049"/>
      <c r="AJ31" s="1049"/>
      <c r="AK31" s="1049"/>
      <c r="AL31" s="1071"/>
      <c r="AM31" s="1049"/>
      <c r="AN31" s="1049"/>
      <c r="AO31" s="1064" t="s">
        <v>212</v>
      </c>
      <c r="AP31" s="1072">
        <f t="shared" ref="AP31:AX31" si="68">IF(AP$26=0,0,AP43/AP$26)</f>
        <v>0</v>
      </c>
      <c r="AQ31" s="1072">
        <f t="shared" si="68"/>
        <v>0</v>
      </c>
      <c r="AR31" s="1072">
        <f t="shared" si="68"/>
        <v>0</v>
      </c>
      <c r="AS31" s="1072">
        <f t="shared" si="68"/>
        <v>0</v>
      </c>
      <c r="AT31" s="1072">
        <f t="shared" si="68"/>
        <v>0</v>
      </c>
      <c r="AU31" s="1072">
        <f t="shared" si="68"/>
        <v>0</v>
      </c>
      <c r="AV31" s="1072">
        <f t="shared" si="68"/>
        <v>0</v>
      </c>
      <c r="AW31" s="1072">
        <f t="shared" si="68"/>
        <v>0</v>
      </c>
      <c r="AX31" s="1073">
        <f t="shared" si="68"/>
        <v>0</v>
      </c>
      <c r="AY31" s="1060" t="s">
        <v>207</v>
      </c>
      <c r="AZ31" s="1074">
        <f t="shared" si="67"/>
        <v>0</v>
      </c>
      <c r="BA31" s="1074">
        <f t="shared" si="67"/>
        <v>0</v>
      </c>
      <c r="BB31" s="1074">
        <f t="shared" si="67"/>
        <v>0</v>
      </c>
      <c r="BC31" s="1074">
        <f t="shared" si="67"/>
        <v>0</v>
      </c>
      <c r="BD31" s="1074">
        <f t="shared" si="67"/>
        <v>0</v>
      </c>
      <c r="BE31" s="1074">
        <f t="shared" si="67"/>
        <v>0</v>
      </c>
      <c r="BF31" s="1074">
        <f t="shared" si="67"/>
        <v>0</v>
      </c>
      <c r="BG31" s="1074">
        <f t="shared" si="67"/>
        <v>0</v>
      </c>
      <c r="BH31" s="1075">
        <f t="shared" si="67"/>
        <v>0</v>
      </c>
      <c r="BI31" s="1069"/>
    </row>
    <row r="32" spans="1:61" ht="20.25" customHeight="1" x14ac:dyDescent="0.2">
      <c r="A32" s="1036"/>
      <c r="B32" s="1047"/>
      <c r="C32" s="1047"/>
      <c r="D32" s="1049"/>
      <c r="E32" s="1049"/>
      <c r="F32" s="1049"/>
      <c r="G32" s="1049"/>
      <c r="H32" s="1049"/>
      <c r="I32" s="1049"/>
      <c r="J32" s="1049"/>
      <c r="K32" s="1049"/>
      <c r="L32" s="1049"/>
      <c r="M32" s="1049"/>
      <c r="N32" s="1049"/>
      <c r="O32" s="1049"/>
      <c r="P32" s="1049"/>
      <c r="Q32" s="1049"/>
      <c r="R32" s="1049"/>
      <c r="S32" s="1049"/>
      <c r="T32" s="1049"/>
      <c r="U32" s="1049"/>
      <c r="V32" s="1049"/>
      <c r="W32" s="1049"/>
      <c r="X32" s="1049"/>
      <c r="Y32" s="1049"/>
      <c r="Z32" s="1049"/>
      <c r="AA32" s="1049"/>
      <c r="AB32" s="1049"/>
      <c r="AC32" s="1049"/>
      <c r="AD32" s="1049"/>
      <c r="AE32" s="1049"/>
      <c r="AF32" s="1049"/>
      <c r="AG32" s="1049"/>
      <c r="AH32" s="1049"/>
      <c r="AI32" s="1049"/>
      <c r="AJ32" s="1049"/>
      <c r="AK32" s="1049"/>
      <c r="AL32" s="1071"/>
      <c r="AM32" s="1049"/>
      <c r="AN32" s="1049"/>
      <c r="AO32" s="1064" t="s">
        <v>200</v>
      </c>
      <c r="AP32" s="1076">
        <f t="shared" ref="AP32:AX32" si="69">IF(AP$26=0,0,AP48/AP$26)</f>
        <v>0</v>
      </c>
      <c r="AQ32" s="1076">
        <f t="shared" si="69"/>
        <v>0</v>
      </c>
      <c r="AR32" s="1076">
        <f t="shared" si="69"/>
        <v>0</v>
      </c>
      <c r="AS32" s="1076">
        <f t="shared" si="69"/>
        <v>0</v>
      </c>
      <c r="AT32" s="1076">
        <f t="shared" si="69"/>
        <v>0</v>
      </c>
      <c r="AU32" s="1076">
        <f t="shared" si="69"/>
        <v>0</v>
      </c>
      <c r="AV32" s="1076">
        <f t="shared" si="69"/>
        <v>0</v>
      </c>
      <c r="AW32" s="1076">
        <f t="shared" si="69"/>
        <v>0</v>
      </c>
      <c r="AX32" s="1077">
        <f t="shared" si="69"/>
        <v>0</v>
      </c>
      <c r="AY32" s="1060" t="s">
        <v>208</v>
      </c>
      <c r="AZ32" s="1074">
        <f t="shared" si="67"/>
        <v>0</v>
      </c>
      <c r="BA32" s="1074">
        <f t="shared" si="67"/>
        <v>0</v>
      </c>
      <c r="BB32" s="1074">
        <f t="shared" si="67"/>
        <v>0</v>
      </c>
      <c r="BC32" s="1074">
        <f t="shared" si="67"/>
        <v>0</v>
      </c>
      <c r="BD32" s="1074">
        <f t="shared" si="67"/>
        <v>0</v>
      </c>
      <c r="BE32" s="1074">
        <f t="shared" si="67"/>
        <v>0</v>
      </c>
      <c r="BF32" s="1074">
        <f t="shared" si="67"/>
        <v>0</v>
      </c>
      <c r="BG32" s="1074">
        <f t="shared" si="67"/>
        <v>0</v>
      </c>
      <c r="BH32" s="1075">
        <f t="shared" si="67"/>
        <v>0</v>
      </c>
      <c r="BI32" s="1069"/>
    </row>
    <row r="33" spans="1:61" ht="20.25" customHeight="1" x14ac:dyDescent="0.2">
      <c r="A33" s="1036"/>
      <c r="B33" s="1047"/>
      <c r="C33" s="1047"/>
      <c r="D33" s="1049"/>
      <c r="E33" s="1049"/>
      <c r="F33" s="1049"/>
      <c r="G33" s="1049"/>
      <c r="H33" s="1049"/>
      <c r="I33" s="1049"/>
      <c r="J33" s="1049"/>
      <c r="K33" s="1049"/>
      <c r="L33" s="1049"/>
      <c r="M33" s="1049"/>
      <c r="N33" s="1049"/>
      <c r="O33" s="1049"/>
      <c r="P33" s="1049"/>
      <c r="Q33" s="1049"/>
      <c r="R33" s="1049"/>
      <c r="S33" s="1049"/>
      <c r="T33" s="1049"/>
      <c r="U33" s="1049"/>
      <c r="V33" s="1049"/>
      <c r="W33" s="1049"/>
      <c r="X33" s="1049"/>
      <c r="Y33" s="1049"/>
      <c r="Z33" s="1049"/>
      <c r="AA33" s="1049"/>
      <c r="AB33" s="1049"/>
      <c r="AC33" s="1049"/>
      <c r="AD33" s="1049"/>
      <c r="AE33" s="1049"/>
      <c r="AF33" s="1049"/>
      <c r="AG33" s="1049"/>
      <c r="AH33" s="1049"/>
      <c r="AI33" s="1049"/>
      <c r="AJ33" s="1049"/>
      <c r="AK33" s="1049"/>
      <c r="AL33" s="1071"/>
      <c r="AM33" s="1049"/>
      <c r="AN33" s="1049"/>
      <c r="AO33" s="1064" t="s">
        <v>203</v>
      </c>
      <c r="AP33" s="1072">
        <f t="shared" ref="AP33:AX33" si="70">IF(AP$26=0,0,AP49/AP$26)</f>
        <v>0</v>
      </c>
      <c r="AQ33" s="1072">
        <f t="shared" si="70"/>
        <v>0</v>
      </c>
      <c r="AR33" s="1072">
        <f t="shared" si="70"/>
        <v>0</v>
      </c>
      <c r="AS33" s="1072">
        <f t="shared" si="70"/>
        <v>0</v>
      </c>
      <c r="AT33" s="1072">
        <f t="shared" si="70"/>
        <v>0</v>
      </c>
      <c r="AU33" s="1072">
        <f t="shared" si="70"/>
        <v>0</v>
      </c>
      <c r="AV33" s="1072">
        <f t="shared" si="70"/>
        <v>0</v>
      </c>
      <c r="AW33" s="1072">
        <f t="shared" si="70"/>
        <v>0</v>
      </c>
      <c r="AX33" s="1073">
        <f t="shared" si="70"/>
        <v>0</v>
      </c>
      <c r="AY33" s="1060" t="s">
        <v>209</v>
      </c>
      <c r="AZ33" s="1074">
        <f t="shared" si="67"/>
        <v>0</v>
      </c>
      <c r="BA33" s="1074">
        <f t="shared" si="67"/>
        <v>0</v>
      </c>
      <c r="BB33" s="1074">
        <f t="shared" si="67"/>
        <v>0</v>
      </c>
      <c r="BC33" s="1074">
        <f t="shared" si="67"/>
        <v>0</v>
      </c>
      <c r="BD33" s="1074">
        <f t="shared" si="67"/>
        <v>0</v>
      </c>
      <c r="BE33" s="1074">
        <f t="shared" si="67"/>
        <v>0</v>
      </c>
      <c r="BF33" s="1074">
        <f t="shared" si="67"/>
        <v>0</v>
      </c>
      <c r="BG33" s="1074">
        <f t="shared" si="67"/>
        <v>0</v>
      </c>
      <c r="BH33" s="1075">
        <f t="shared" si="67"/>
        <v>0</v>
      </c>
      <c r="BI33" s="1069"/>
    </row>
    <row r="34" spans="1:61" ht="20.25" customHeight="1" x14ac:dyDescent="0.2">
      <c r="A34" s="1036"/>
      <c r="B34" s="1047"/>
      <c r="C34" s="1047"/>
      <c r="D34" s="1049"/>
      <c r="E34" s="1049"/>
      <c r="F34" s="1049"/>
      <c r="G34" s="1049"/>
      <c r="H34" s="1049"/>
      <c r="I34" s="1049"/>
      <c r="J34" s="1049"/>
      <c r="K34" s="1049"/>
      <c r="L34" s="1049"/>
      <c r="M34" s="1049"/>
      <c r="N34" s="1049"/>
      <c r="O34" s="1049"/>
      <c r="P34" s="1049"/>
      <c r="Q34" s="1049"/>
      <c r="R34" s="1049"/>
      <c r="S34" s="1049"/>
      <c r="T34" s="1049"/>
      <c r="U34" s="1049"/>
      <c r="V34" s="1049"/>
      <c r="W34" s="1049"/>
      <c r="X34" s="1049"/>
      <c r="Y34" s="1049"/>
      <c r="Z34" s="1049"/>
      <c r="AA34" s="1049"/>
      <c r="AB34" s="1049"/>
      <c r="AC34" s="1049"/>
      <c r="AD34" s="1049"/>
      <c r="AE34" s="1049"/>
      <c r="AF34" s="1049"/>
      <c r="AG34" s="1049"/>
      <c r="AH34" s="1049"/>
      <c r="AI34" s="1049"/>
      <c r="AJ34" s="1049"/>
      <c r="AK34" s="1049"/>
      <c r="AL34" s="1071"/>
      <c r="AM34" s="1049"/>
      <c r="AN34" s="1049"/>
      <c r="AO34" s="1064" t="s">
        <v>385</v>
      </c>
      <c r="AP34" s="1076">
        <f>IF(AP$26=0,0,AP47*100)</f>
        <v>0</v>
      </c>
      <c r="AQ34" s="1076">
        <f t="shared" ref="AQ34:AX34" si="71">IF(AQ$26=0,0,AQ47*100)</f>
        <v>0</v>
      </c>
      <c r="AR34" s="1076">
        <f t="shared" si="71"/>
        <v>0</v>
      </c>
      <c r="AS34" s="1076">
        <f t="shared" si="71"/>
        <v>0</v>
      </c>
      <c r="AT34" s="1076">
        <f t="shared" si="71"/>
        <v>0</v>
      </c>
      <c r="AU34" s="1076">
        <f t="shared" si="71"/>
        <v>0</v>
      </c>
      <c r="AV34" s="1076">
        <f t="shared" si="71"/>
        <v>0</v>
      </c>
      <c r="AW34" s="1076">
        <f t="shared" si="71"/>
        <v>0</v>
      </c>
      <c r="AX34" s="1077">
        <f t="shared" si="71"/>
        <v>0</v>
      </c>
      <c r="AY34" s="1060" t="s">
        <v>210</v>
      </c>
      <c r="AZ34" s="1074">
        <f t="shared" si="67"/>
        <v>0</v>
      </c>
      <c r="BA34" s="1074">
        <f t="shared" si="67"/>
        <v>0</v>
      </c>
      <c r="BB34" s="1074">
        <f t="shared" si="67"/>
        <v>0</v>
      </c>
      <c r="BC34" s="1074">
        <f t="shared" si="67"/>
        <v>0</v>
      </c>
      <c r="BD34" s="1074">
        <f t="shared" si="67"/>
        <v>0</v>
      </c>
      <c r="BE34" s="1074">
        <f t="shared" si="67"/>
        <v>0</v>
      </c>
      <c r="BF34" s="1074">
        <f t="shared" si="67"/>
        <v>0</v>
      </c>
      <c r="BG34" s="1074">
        <f t="shared" si="67"/>
        <v>0</v>
      </c>
      <c r="BH34" s="1075">
        <f t="shared" si="67"/>
        <v>0</v>
      </c>
      <c r="BI34" s="1069"/>
    </row>
    <row r="35" spans="1:61" ht="20.25" customHeight="1" thickBot="1" x14ac:dyDescent="0.25">
      <c r="A35" s="1036"/>
      <c r="B35" s="1047"/>
      <c r="C35" s="1047"/>
      <c r="D35" s="1049"/>
      <c r="E35" s="1049"/>
      <c r="F35" s="1049"/>
      <c r="G35" s="1049"/>
      <c r="H35" s="1049"/>
      <c r="I35" s="1049"/>
      <c r="J35" s="1049"/>
      <c r="K35" s="1049"/>
      <c r="L35" s="1049"/>
      <c r="M35" s="1049"/>
      <c r="N35" s="1049"/>
      <c r="O35" s="1049"/>
      <c r="P35" s="1049"/>
      <c r="Q35" s="1049"/>
      <c r="R35" s="1049"/>
      <c r="S35" s="1049"/>
      <c r="T35" s="1049"/>
      <c r="U35" s="1049"/>
      <c r="V35" s="1049"/>
      <c r="W35" s="1049"/>
      <c r="X35" s="1049"/>
      <c r="Y35" s="1049"/>
      <c r="Z35" s="1049"/>
      <c r="AA35" s="1049"/>
      <c r="AB35" s="1049"/>
      <c r="AC35" s="1049"/>
      <c r="AD35" s="1049"/>
      <c r="AE35" s="1049"/>
      <c r="AF35" s="1049"/>
      <c r="AG35" s="1049"/>
      <c r="AH35" s="1049"/>
      <c r="AI35" s="1049"/>
      <c r="AJ35" s="1049"/>
      <c r="AK35" s="1049"/>
      <c r="AL35" s="1071"/>
      <c r="AM35" s="1049"/>
      <c r="AN35" s="1049"/>
      <c r="AO35" s="1064" t="s">
        <v>204</v>
      </c>
      <c r="AP35" s="1076">
        <f>IF(AP$26=0,0,AP54/AP$26)</f>
        <v>0</v>
      </c>
      <c r="AQ35" s="1076">
        <f t="shared" ref="AQ35:AX35" si="72">IF(AQ$26=0,0,AQ54/AQ$26)</f>
        <v>0</v>
      </c>
      <c r="AR35" s="1076">
        <f t="shared" si="72"/>
        <v>0</v>
      </c>
      <c r="AS35" s="1076">
        <f t="shared" si="72"/>
        <v>0</v>
      </c>
      <c r="AT35" s="1076">
        <f t="shared" si="72"/>
        <v>0</v>
      </c>
      <c r="AU35" s="1076">
        <f t="shared" si="72"/>
        <v>0</v>
      </c>
      <c r="AV35" s="1076">
        <f t="shared" si="72"/>
        <v>0</v>
      </c>
      <c r="AW35" s="1076">
        <f t="shared" si="72"/>
        <v>0</v>
      </c>
      <c r="AX35" s="1077">
        <f t="shared" si="72"/>
        <v>0</v>
      </c>
      <c r="AY35" s="1060" t="str">
        <f>AO70</f>
        <v>DCAB, meq</v>
      </c>
      <c r="AZ35" s="1067">
        <f t="shared" ref="AZ35:BH35" si="73">IF(AP$26=0,0,AP70/AP$26)</f>
        <v>0</v>
      </c>
      <c r="BA35" s="1067">
        <f t="shared" si="73"/>
        <v>0</v>
      </c>
      <c r="BB35" s="1067">
        <f t="shared" si="73"/>
        <v>0</v>
      </c>
      <c r="BC35" s="1067">
        <f t="shared" si="73"/>
        <v>0</v>
      </c>
      <c r="BD35" s="1067">
        <f t="shared" si="73"/>
        <v>0</v>
      </c>
      <c r="BE35" s="1067">
        <f t="shared" si="73"/>
        <v>0</v>
      </c>
      <c r="BF35" s="1067">
        <f t="shared" si="73"/>
        <v>0</v>
      </c>
      <c r="BG35" s="1067">
        <f t="shared" si="73"/>
        <v>0</v>
      </c>
      <c r="BH35" s="1078">
        <f t="shared" si="73"/>
        <v>0</v>
      </c>
      <c r="BI35" s="1069"/>
    </row>
    <row r="36" spans="1:61" ht="20.25" customHeight="1" x14ac:dyDescent="0.2">
      <c r="A36" s="1036"/>
      <c r="B36" s="1047"/>
      <c r="C36" s="1047"/>
      <c r="D36" s="1049"/>
      <c r="E36" s="1049"/>
      <c r="F36" s="1049"/>
      <c r="G36" s="1049"/>
      <c r="H36" s="1049"/>
      <c r="I36" s="1049"/>
      <c r="J36" s="1049"/>
      <c r="K36" s="1049"/>
      <c r="L36" s="1049"/>
      <c r="M36" s="1049"/>
      <c r="N36" s="1049"/>
      <c r="O36" s="1049"/>
      <c r="P36" s="1049"/>
      <c r="Q36" s="1049"/>
      <c r="R36" s="1049"/>
      <c r="S36" s="1049"/>
      <c r="T36" s="1049"/>
      <c r="U36" s="1049"/>
      <c r="V36" s="1049"/>
      <c r="W36" s="1049"/>
      <c r="X36" s="1049"/>
      <c r="Y36" s="1049"/>
      <c r="Z36" s="1049"/>
      <c r="AA36" s="1049"/>
      <c r="AB36" s="1049"/>
      <c r="AC36" s="1049"/>
      <c r="AD36" s="1049"/>
      <c r="AE36" s="1049"/>
      <c r="AF36" s="1049"/>
      <c r="AG36" s="1049"/>
      <c r="AH36" s="1049"/>
      <c r="AI36" s="1049"/>
      <c r="AJ36" s="1049"/>
      <c r="AK36" s="1049"/>
      <c r="AL36" s="1071"/>
      <c r="AM36" s="1049"/>
      <c r="AN36" s="1049"/>
      <c r="AO36" s="1079" t="s">
        <v>538</v>
      </c>
      <c r="AP36" s="1076">
        <f t="shared" ref="AP36:AX36" si="74">IF(AP$26=0,0,AP52/AP$26)</f>
        <v>0</v>
      </c>
      <c r="AQ36" s="1076">
        <f t="shared" si="74"/>
        <v>0</v>
      </c>
      <c r="AR36" s="1076">
        <f t="shared" si="74"/>
        <v>0</v>
      </c>
      <c r="AS36" s="1076">
        <f t="shared" si="74"/>
        <v>0</v>
      </c>
      <c r="AT36" s="1076">
        <f t="shared" si="74"/>
        <v>0</v>
      </c>
      <c r="AU36" s="1076">
        <f t="shared" si="74"/>
        <v>0</v>
      </c>
      <c r="AV36" s="1076">
        <f t="shared" si="74"/>
        <v>0</v>
      </c>
      <c r="AW36" s="1076">
        <f t="shared" si="74"/>
        <v>0</v>
      </c>
      <c r="AX36" s="1077">
        <f t="shared" si="74"/>
        <v>0</v>
      </c>
      <c r="AY36" s="1080" t="s">
        <v>383</v>
      </c>
      <c r="AZ36" s="1081">
        <f t="shared" ref="AZ36:BH36" si="75">IF(AP$26=0,0,AP71)</f>
        <v>0</v>
      </c>
      <c r="BA36" s="1081">
        <f t="shared" si="75"/>
        <v>0</v>
      </c>
      <c r="BB36" s="1081">
        <f t="shared" si="75"/>
        <v>0</v>
      </c>
      <c r="BC36" s="1081">
        <f t="shared" si="75"/>
        <v>0</v>
      </c>
      <c r="BD36" s="1081">
        <f t="shared" si="75"/>
        <v>0</v>
      </c>
      <c r="BE36" s="1081">
        <f t="shared" si="75"/>
        <v>0</v>
      </c>
      <c r="BF36" s="1081">
        <f t="shared" si="75"/>
        <v>0</v>
      </c>
      <c r="BG36" s="1081">
        <f t="shared" si="75"/>
        <v>0</v>
      </c>
      <c r="BH36" s="1082">
        <f t="shared" si="75"/>
        <v>0</v>
      </c>
      <c r="BI36" s="1069"/>
    </row>
    <row r="37" spans="1:61" ht="20.25" customHeight="1" thickBot="1" x14ac:dyDescent="0.25">
      <c r="A37" s="1036"/>
      <c r="B37" s="1047"/>
      <c r="C37" s="1047"/>
      <c r="D37" s="1049"/>
      <c r="E37" s="1049"/>
      <c r="F37" s="1049"/>
      <c r="G37" s="1049"/>
      <c r="H37" s="1049"/>
      <c r="I37" s="1049"/>
      <c r="J37" s="1049"/>
      <c r="K37" s="1049"/>
      <c r="L37" s="1049"/>
      <c r="M37" s="1049"/>
      <c r="N37" s="1049"/>
      <c r="O37" s="1049"/>
      <c r="P37" s="1049"/>
      <c r="Q37" s="1049"/>
      <c r="R37" s="1049"/>
      <c r="S37" s="1049"/>
      <c r="T37" s="1049"/>
      <c r="U37" s="1049"/>
      <c r="V37" s="1049"/>
      <c r="W37" s="1049"/>
      <c r="X37" s="1049"/>
      <c r="Y37" s="1049"/>
      <c r="Z37" s="1049"/>
      <c r="AA37" s="1049"/>
      <c r="AB37" s="1049"/>
      <c r="AC37" s="1049"/>
      <c r="AD37" s="1049"/>
      <c r="AE37" s="1049"/>
      <c r="AF37" s="1049"/>
      <c r="AG37" s="1049"/>
      <c r="AH37" s="1049"/>
      <c r="AI37" s="1049"/>
      <c r="AJ37" s="1049"/>
      <c r="AK37" s="1049"/>
      <c r="AL37" s="1071"/>
      <c r="AM37" s="1049"/>
      <c r="AN37" s="1049"/>
      <c r="AO37" s="1079" t="s">
        <v>543</v>
      </c>
      <c r="AP37" s="1076">
        <f>IF(AP$26=0,0,AP53/AP$26)</f>
        <v>0</v>
      </c>
      <c r="AQ37" s="1076">
        <f t="shared" ref="AQ37:AX37" si="76">IF(AQ$26=0,0,AQ53/AQ$26)</f>
        <v>0</v>
      </c>
      <c r="AR37" s="1076">
        <f t="shared" si="76"/>
        <v>0</v>
      </c>
      <c r="AS37" s="1076">
        <f t="shared" si="76"/>
        <v>0</v>
      </c>
      <c r="AT37" s="1076">
        <f t="shared" si="76"/>
        <v>0</v>
      </c>
      <c r="AU37" s="1076">
        <f t="shared" si="76"/>
        <v>0</v>
      </c>
      <c r="AV37" s="1076">
        <f t="shared" si="76"/>
        <v>0</v>
      </c>
      <c r="AW37" s="1076">
        <f t="shared" si="76"/>
        <v>0</v>
      </c>
      <c r="AX37" s="1077">
        <f t="shared" si="76"/>
        <v>0</v>
      </c>
      <c r="AY37" s="1083" t="s">
        <v>384</v>
      </c>
      <c r="AZ37" s="1084" t="str">
        <f t="shared" ref="AZ37:BH37" si="77">IF(AP28="-","-",AZ36/AP28*100)</f>
        <v>-</v>
      </c>
      <c r="BA37" s="1084" t="str">
        <f t="shared" si="77"/>
        <v>-</v>
      </c>
      <c r="BB37" s="1084" t="str">
        <f t="shared" si="77"/>
        <v>-</v>
      </c>
      <c r="BC37" s="1084" t="str">
        <f t="shared" si="77"/>
        <v>-</v>
      </c>
      <c r="BD37" s="1084" t="str">
        <f t="shared" si="77"/>
        <v>-</v>
      </c>
      <c r="BE37" s="1084" t="str">
        <f t="shared" si="77"/>
        <v>-</v>
      </c>
      <c r="BF37" s="1084" t="str">
        <f t="shared" si="77"/>
        <v>-</v>
      </c>
      <c r="BG37" s="1084" t="str">
        <f t="shared" si="77"/>
        <v>-</v>
      </c>
      <c r="BH37" s="1085" t="str">
        <f t="shared" si="77"/>
        <v>-</v>
      </c>
      <c r="BI37" s="1069"/>
    </row>
    <row r="38" spans="1:61" ht="20.25" customHeight="1" x14ac:dyDescent="0.2">
      <c r="A38" s="1036"/>
      <c r="B38" s="1047"/>
      <c r="C38" s="1047"/>
      <c r="D38" s="1049"/>
      <c r="E38" s="1049"/>
      <c r="F38" s="1049"/>
      <c r="G38" s="1049"/>
      <c r="H38" s="1049"/>
      <c r="I38" s="1049"/>
      <c r="J38" s="1049"/>
      <c r="K38" s="1049"/>
      <c r="L38" s="1049"/>
      <c r="M38" s="1049"/>
      <c r="N38" s="1049"/>
      <c r="O38" s="1049"/>
      <c r="P38" s="1049"/>
      <c r="Q38" s="1049"/>
      <c r="R38" s="1049"/>
      <c r="S38" s="1049"/>
      <c r="T38" s="1049"/>
      <c r="U38" s="1049"/>
      <c r="V38" s="1049"/>
      <c r="W38" s="1049"/>
      <c r="X38" s="1049"/>
      <c r="Y38" s="1049"/>
      <c r="Z38" s="1049"/>
      <c r="AA38" s="1049"/>
      <c r="AB38" s="1049"/>
      <c r="AC38" s="1049"/>
      <c r="AD38" s="1049"/>
      <c r="AE38" s="1049"/>
      <c r="AF38" s="1049"/>
      <c r="AG38" s="1049"/>
      <c r="AH38" s="1049"/>
      <c r="AI38" s="1049"/>
      <c r="AJ38" s="1049"/>
      <c r="AK38" s="1049"/>
      <c r="AL38" s="1071"/>
      <c r="AM38" s="1049"/>
      <c r="AN38" s="1049"/>
      <c r="AO38" s="1086" t="s">
        <v>516</v>
      </c>
      <c r="AP38" s="1076">
        <f>AP50</f>
        <v>0</v>
      </c>
      <c r="AQ38" s="1076">
        <f t="shared" ref="AQ38:AX38" si="78">AQ50</f>
        <v>0</v>
      </c>
      <c r="AR38" s="1076">
        <f t="shared" si="78"/>
        <v>0</v>
      </c>
      <c r="AS38" s="1076">
        <f t="shared" si="78"/>
        <v>0</v>
      </c>
      <c r="AT38" s="1076">
        <f t="shared" si="78"/>
        <v>0</v>
      </c>
      <c r="AU38" s="1076">
        <f t="shared" si="78"/>
        <v>0</v>
      </c>
      <c r="AV38" s="1076">
        <f t="shared" si="78"/>
        <v>0</v>
      </c>
      <c r="AW38" s="1076">
        <f t="shared" si="78"/>
        <v>0</v>
      </c>
      <c r="AX38" s="1077">
        <f t="shared" si="78"/>
        <v>0</v>
      </c>
      <c r="AY38" s="1087" t="s">
        <v>216</v>
      </c>
      <c r="AZ38" s="1088"/>
      <c r="BA38" s="1088"/>
      <c r="BB38" s="1088"/>
      <c r="BC38" s="1088"/>
      <c r="BD38" s="1088"/>
      <c r="BE38" s="1088"/>
      <c r="BF38" s="1088"/>
      <c r="BG38" s="1088"/>
      <c r="BH38" s="1089"/>
      <c r="BI38" s="1069"/>
    </row>
    <row r="39" spans="1:61" ht="20.25" customHeight="1" thickBot="1" x14ac:dyDescent="0.25">
      <c r="A39" s="1036"/>
      <c r="B39" s="1047"/>
      <c r="C39" s="1047"/>
      <c r="D39" s="1049"/>
      <c r="E39" s="1049"/>
      <c r="F39" s="1049"/>
      <c r="G39" s="1049"/>
      <c r="H39" s="1049"/>
      <c r="I39" s="1049"/>
      <c r="J39" s="1049"/>
      <c r="K39" s="1049"/>
      <c r="L39" s="1049"/>
      <c r="M39" s="1049"/>
      <c r="N39" s="1049"/>
      <c r="O39" s="1049"/>
      <c r="P39" s="1049"/>
      <c r="Q39" s="1049"/>
      <c r="R39" s="1049"/>
      <c r="S39" s="1049"/>
      <c r="T39" s="1049"/>
      <c r="U39" s="1049"/>
      <c r="V39" s="1049"/>
      <c r="W39" s="1049"/>
      <c r="X39" s="1049"/>
      <c r="Y39" s="1049"/>
      <c r="Z39" s="1049"/>
      <c r="AA39" s="1049"/>
      <c r="AB39" s="1049"/>
      <c r="AC39" s="1049"/>
      <c r="AD39" s="1049"/>
      <c r="AE39" s="1049"/>
      <c r="AF39" s="1049"/>
      <c r="AG39" s="1049"/>
      <c r="AH39" s="1049"/>
      <c r="AI39" s="1049"/>
      <c r="AJ39" s="1049"/>
      <c r="AK39" s="1049"/>
      <c r="AL39" s="1071"/>
      <c r="AM39" s="1049"/>
      <c r="AN39" s="1049"/>
      <c r="AO39" s="1090" t="s">
        <v>205</v>
      </c>
      <c r="AP39" s="1091"/>
      <c r="AQ39" s="1091"/>
      <c r="AR39" s="1091"/>
      <c r="AS39" s="1091"/>
      <c r="AT39" s="1091"/>
      <c r="AU39" s="1091"/>
      <c r="AV39" s="1091"/>
      <c r="AW39" s="1091"/>
      <c r="AX39" s="1092"/>
      <c r="AY39" s="1093"/>
      <c r="AZ39" s="1470"/>
      <c r="BA39" s="1470"/>
      <c r="BB39" s="1470"/>
      <c r="BC39" s="1470"/>
      <c r="BD39" s="1470"/>
      <c r="BE39" s="1470"/>
      <c r="BF39" s="1470"/>
      <c r="BG39" s="1470"/>
      <c r="BH39" s="1471"/>
      <c r="BI39" s="1069"/>
    </row>
    <row r="40" spans="1:61" ht="15" customHeight="1" thickBot="1" x14ac:dyDescent="0.25">
      <c r="A40" s="1036"/>
      <c r="B40" s="1047"/>
      <c r="C40" s="1047"/>
      <c r="D40" s="1049"/>
      <c r="E40" s="1049"/>
      <c r="F40" s="1049"/>
      <c r="G40" s="1049"/>
      <c r="H40" s="1049"/>
      <c r="I40" s="1049"/>
      <c r="J40" s="1049"/>
      <c r="K40" s="1049"/>
      <c r="L40" s="1049"/>
      <c r="M40" s="1049"/>
      <c r="N40" s="1049"/>
      <c r="O40" s="1049"/>
      <c r="P40" s="1049"/>
      <c r="Q40" s="1049"/>
      <c r="R40" s="1049"/>
      <c r="S40" s="1049"/>
      <c r="T40" s="1049"/>
      <c r="U40" s="1049"/>
      <c r="V40" s="1049"/>
      <c r="W40" s="1049"/>
      <c r="X40" s="1049"/>
      <c r="Y40" s="1049"/>
      <c r="Z40" s="1049"/>
      <c r="AA40" s="1049"/>
      <c r="AB40" s="1049"/>
      <c r="AC40" s="1049"/>
      <c r="AD40" s="1049"/>
      <c r="AE40" s="1049"/>
      <c r="AF40" s="1049"/>
      <c r="AG40" s="1049"/>
      <c r="AH40" s="1049"/>
      <c r="AI40" s="1049"/>
      <c r="AJ40" s="1049"/>
      <c r="AK40" s="1049"/>
      <c r="AL40" s="1071"/>
      <c r="AM40" s="1049"/>
      <c r="AN40" s="1049"/>
      <c r="AO40" s="1094" t="str">
        <f>Eigenmischungen!A54</f>
        <v xml:space="preserve">             Die Daten sind auf Plausibilität zu prüfen, um Eingabe- und Berechnungsfehler auszuschließen. Es wird keine Gewähr zur Richtigkeit der Daten übernommen.</v>
      </c>
      <c r="AP40" s="1095"/>
      <c r="AQ40" s="1095"/>
      <c r="AR40" s="1095"/>
      <c r="AS40" s="1095"/>
      <c r="AT40" s="1095"/>
      <c r="AU40" s="1095"/>
      <c r="AV40" s="1095"/>
      <c r="AW40" s="1095"/>
      <c r="AX40" s="1095"/>
      <c r="AY40" s="1096"/>
      <c r="AZ40" s="1096"/>
      <c r="BA40" s="1096"/>
      <c r="BB40" s="1096"/>
      <c r="BC40" s="1096"/>
      <c r="BD40" s="1096"/>
      <c r="BE40" s="1468" t="str">
        <f>Einstellungen!C1</f>
        <v>Bearbeiter*in:</v>
      </c>
      <c r="BF40" s="1468"/>
      <c r="BG40" s="1469" t="str">
        <f>Einstellungen!E1</f>
        <v>E. Gerster</v>
      </c>
      <c r="BH40" s="1469"/>
      <c r="BI40" s="1097"/>
    </row>
    <row r="41" spans="1:61" ht="21.75" customHeight="1" thickTop="1" x14ac:dyDescent="0.2">
      <c r="A41" s="1036"/>
      <c r="B41" s="1047"/>
      <c r="C41" s="1047"/>
      <c r="D41" s="1049"/>
      <c r="E41" s="1049"/>
      <c r="F41" s="1049"/>
      <c r="G41" s="1049"/>
      <c r="H41" s="1049"/>
      <c r="I41" s="1049"/>
      <c r="J41" s="1049"/>
      <c r="K41" s="1049"/>
      <c r="L41" s="1049"/>
      <c r="M41" s="1049"/>
      <c r="N41" s="1049"/>
      <c r="O41" s="1049"/>
      <c r="P41" s="1049"/>
      <c r="Q41" s="1049"/>
      <c r="R41" s="1049"/>
      <c r="S41" s="1049"/>
      <c r="T41" s="1049"/>
      <c r="U41" s="1049"/>
      <c r="V41" s="1049"/>
      <c r="W41" s="1049"/>
      <c r="X41" s="1049"/>
      <c r="Y41" s="1049"/>
      <c r="Z41" s="1049"/>
      <c r="AA41" s="1049"/>
      <c r="AB41" s="1049"/>
      <c r="AC41" s="1049"/>
      <c r="AD41" s="1049"/>
      <c r="AE41" s="1049"/>
      <c r="AF41" s="1049"/>
      <c r="AG41" s="1049"/>
      <c r="AH41" s="1049"/>
      <c r="AI41" s="1049"/>
      <c r="AJ41" s="1049"/>
      <c r="AK41" s="1049"/>
      <c r="AL41" s="1071"/>
      <c r="AM41" s="1049"/>
      <c r="AN41" s="1049"/>
      <c r="AO41" s="1071" t="str">
        <f>E2&amp;", %"</f>
        <v>TM, %</v>
      </c>
      <c r="AP41" s="125">
        <f t="shared" ref="AP41:AX41" si="79">IF(AP26=0,0,AP26/AP25)</f>
        <v>0</v>
      </c>
      <c r="AQ41" s="125">
        <f t="shared" si="79"/>
        <v>0</v>
      </c>
      <c r="AR41" s="125">
        <f t="shared" si="79"/>
        <v>0</v>
      </c>
      <c r="AS41" s="125">
        <f t="shared" si="79"/>
        <v>0</v>
      </c>
      <c r="AT41" s="125">
        <f t="shared" si="79"/>
        <v>0</v>
      </c>
      <c r="AU41" s="125">
        <f t="shared" si="79"/>
        <v>0</v>
      </c>
      <c r="AV41" s="125">
        <f t="shared" si="79"/>
        <v>0</v>
      </c>
      <c r="AW41" s="125">
        <f t="shared" si="79"/>
        <v>0</v>
      </c>
      <c r="AX41" s="125">
        <f t="shared" si="79"/>
        <v>0</v>
      </c>
      <c r="AY41" s="1098"/>
      <c r="AZ41" s="1098"/>
      <c r="BA41" s="1098"/>
      <c r="BB41" s="1098"/>
      <c r="BC41" s="1098"/>
      <c r="BD41" s="1098"/>
      <c r="BE41" s="1098"/>
      <c r="BF41" s="1098"/>
      <c r="BG41" s="1098"/>
      <c r="BH41" s="1098"/>
      <c r="BI41" s="1098"/>
    </row>
    <row r="42" spans="1:61" ht="21.75" customHeight="1" x14ac:dyDescent="0.2">
      <c r="A42" s="1036"/>
      <c r="B42" s="1047"/>
      <c r="C42" s="1047"/>
      <c r="D42" s="1049"/>
      <c r="E42" s="1049"/>
      <c r="F42" s="1049"/>
      <c r="G42" s="1049"/>
      <c r="H42" s="1049"/>
      <c r="I42" s="1049"/>
      <c r="J42" s="1049"/>
      <c r="K42" s="1049"/>
      <c r="L42" s="1049"/>
      <c r="M42" s="1049"/>
      <c r="N42" s="1049"/>
      <c r="O42" s="1049"/>
      <c r="P42" s="1049"/>
      <c r="Q42" s="1049"/>
      <c r="R42" s="1049"/>
      <c r="S42" s="1049"/>
      <c r="T42" s="1049"/>
      <c r="U42" s="1049"/>
      <c r="V42" s="1049"/>
      <c r="W42" s="1049"/>
      <c r="X42" s="1049"/>
      <c r="Y42" s="1049"/>
      <c r="Z42" s="1049"/>
      <c r="AA42" s="1049"/>
      <c r="AB42" s="1049"/>
      <c r="AC42" s="1049"/>
      <c r="AD42" s="1049"/>
      <c r="AE42" s="1049"/>
      <c r="AF42" s="1049"/>
      <c r="AG42" s="1049"/>
      <c r="AH42" s="1049"/>
      <c r="AI42" s="1049"/>
      <c r="AJ42" s="1049"/>
      <c r="AK42" s="1049"/>
      <c r="AL42" s="1071"/>
      <c r="AM42" s="1049"/>
      <c r="AN42" s="1049"/>
      <c r="AO42" s="1071" t="str">
        <f>F2&amp;", MJ"</f>
        <v>NEL, MJ</v>
      </c>
      <c r="AP42" s="1099">
        <f t="shared" ref="AP42:AX42" si="80">(AP$4*$F$4*$E$4+AP$5*$F$5*$E$5+AP$6*$F$6*$E$6+AP$7*$F$7*$E$7+AP$8*$F$8*$E$8+AP$9*$F$9*$E$9+AP$10*$F$10*$E$10+AP$11*$F$11*$E$11+AP$12*$F$12*$E$12+AP$13*$F$13*$E$13+AP$14*$F$14*$E$14+AP$15*$F$15*$E$15+AP$16*$F$16*$E$16+AP$17*$F$17*$E$17+AP$18*$F$18*$E$18+AP$19*$F$19*$E$19+AP$20*$F$20*$E$20+AP$21*$F$21*$E$21+AP$22*$F$22*$E$22+AP$23*$F$23*$E$23+AP$24*$F$24*$E$24)/100</f>
        <v>0</v>
      </c>
      <c r="AQ42" s="1099">
        <f t="shared" si="80"/>
        <v>0</v>
      </c>
      <c r="AR42" s="1099">
        <f t="shared" si="80"/>
        <v>0</v>
      </c>
      <c r="AS42" s="1099">
        <f t="shared" si="80"/>
        <v>0</v>
      </c>
      <c r="AT42" s="1099">
        <f t="shared" si="80"/>
        <v>0</v>
      </c>
      <c r="AU42" s="1099">
        <f t="shared" si="80"/>
        <v>0</v>
      </c>
      <c r="AV42" s="1099">
        <f t="shared" si="80"/>
        <v>0</v>
      </c>
      <c r="AW42" s="1099">
        <f t="shared" si="80"/>
        <v>0</v>
      </c>
      <c r="AX42" s="1099">
        <f t="shared" si="80"/>
        <v>0</v>
      </c>
      <c r="AY42" s="1098"/>
      <c r="AZ42" s="1098"/>
      <c r="BA42" s="1098"/>
      <c r="BB42" s="1098"/>
      <c r="BC42" s="1098"/>
      <c r="BD42" s="1098"/>
      <c r="BE42" s="1098"/>
      <c r="BF42" s="1098"/>
      <c r="BG42" s="1098"/>
      <c r="BH42" s="1098"/>
      <c r="BI42" s="1098"/>
    </row>
    <row r="43" spans="1:61" ht="21.75" customHeight="1" x14ac:dyDescent="0.2">
      <c r="A43" s="1036"/>
      <c r="B43" s="1047"/>
      <c r="C43" s="1047"/>
      <c r="D43" s="1049"/>
      <c r="E43" s="1049"/>
      <c r="F43" s="1049"/>
      <c r="G43" s="1049"/>
      <c r="H43" s="1049"/>
      <c r="I43" s="1049"/>
      <c r="J43" s="1049"/>
      <c r="K43" s="1049"/>
      <c r="L43" s="1049"/>
      <c r="M43" s="1049"/>
      <c r="N43" s="1049"/>
      <c r="O43" s="1049"/>
      <c r="P43" s="1049"/>
      <c r="Q43" s="1049"/>
      <c r="R43" s="1049"/>
      <c r="S43" s="1049"/>
      <c r="T43" s="1049"/>
      <c r="U43" s="1049"/>
      <c r="V43" s="1049"/>
      <c r="W43" s="1049"/>
      <c r="X43" s="1049"/>
      <c r="Y43" s="1049"/>
      <c r="Z43" s="1049"/>
      <c r="AA43" s="1049"/>
      <c r="AB43" s="1049"/>
      <c r="AC43" s="1049"/>
      <c r="AD43" s="1049"/>
      <c r="AE43" s="1049"/>
      <c r="AF43" s="1049"/>
      <c r="AG43" s="1049"/>
      <c r="AH43" s="1049"/>
      <c r="AI43" s="1049"/>
      <c r="AJ43" s="1049"/>
      <c r="AK43" s="1049"/>
      <c r="AL43" s="1071"/>
      <c r="AM43" s="1049"/>
      <c r="AN43" s="1049"/>
      <c r="AO43" s="1071" t="str">
        <f>G2&amp;", MJ"</f>
        <v>ME, MJ</v>
      </c>
      <c r="AP43" s="1099">
        <f t="shared" ref="AP43:AX43" si="81">(AP$4*$G$4*$E$4+AP$5*$G$5*$E$5+AP$6*$G$6*$E$6+AP$7*$G$7*$E$7+AP$8*$G$8*$E$8+AP$9*$G$9*$E$9+AP$10*$G$10*$E$10+AP$11*$G$11*$E$11+AP$12*$G$12*$E$12+AP$13*$G$13*$E$13+AP$14*$G$14*$E$14+AP$15*$G$15*$E$15+AP$16*$G$16*$E$16+AP$17*$G$17*$E$17+AP$18*$G$18*$E$18+AP$19*$G$19*$E$19+AP$20*$G$20*$E$20+AP$21*$G$21*$E$21+AP$22*$G$22*$E$22+AP$23*$G$23*$E$23+AP$24*$G$24*$E$24)/100</f>
        <v>0</v>
      </c>
      <c r="AQ43" s="1099">
        <f t="shared" si="81"/>
        <v>0</v>
      </c>
      <c r="AR43" s="1099">
        <f t="shared" si="81"/>
        <v>0</v>
      </c>
      <c r="AS43" s="1099">
        <f t="shared" si="81"/>
        <v>0</v>
      </c>
      <c r="AT43" s="1099">
        <f t="shared" si="81"/>
        <v>0</v>
      </c>
      <c r="AU43" s="1099">
        <f t="shared" si="81"/>
        <v>0</v>
      </c>
      <c r="AV43" s="1099">
        <f t="shared" si="81"/>
        <v>0</v>
      </c>
      <c r="AW43" s="1099">
        <f t="shared" si="81"/>
        <v>0</v>
      </c>
      <c r="AX43" s="1099">
        <f t="shared" si="81"/>
        <v>0</v>
      </c>
      <c r="AY43" s="1098"/>
      <c r="AZ43" s="1098"/>
      <c r="BA43" s="1098"/>
      <c r="BB43" s="1098"/>
      <c r="BC43" s="1098"/>
      <c r="BD43" s="1098"/>
      <c r="BE43" s="1098"/>
      <c r="BF43" s="1098"/>
      <c r="BG43" s="1098"/>
      <c r="BH43" s="1098"/>
      <c r="BI43" s="1098"/>
    </row>
    <row r="44" spans="1:61" ht="21.75" customHeight="1" x14ac:dyDescent="0.2">
      <c r="A44" s="1036"/>
      <c r="B44" s="1047"/>
      <c r="C44" s="1047"/>
      <c r="D44" s="1049"/>
      <c r="E44" s="1049"/>
      <c r="F44" s="1049"/>
      <c r="G44" s="1049"/>
      <c r="H44" s="1049"/>
      <c r="I44" s="1049"/>
      <c r="J44" s="1049"/>
      <c r="K44" s="1049"/>
      <c r="L44" s="1049"/>
      <c r="M44" s="1049"/>
      <c r="N44" s="1049"/>
      <c r="O44" s="1049"/>
      <c r="P44" s="1049"/>
      <c r="Q44" s="1049"/>
      <c r="R44" s="1049"/>
      <c r="S44" s="1049"/>
      <c r="T44" s="1049"/>
      <c r="U44" s="1049"/>
      <c r="V44" s="1049"/>
      <c r="W44" s="1049"/>
      <c r="X44" s="1049"/>
      <c r="Y44" s="1049"/>
      <c r="Z44" s="1049"/>
      <c r="AA44" s="1049"/>
      <c r="AB44" s="1049"/>
      <c r="AC44" s="1049"/>
      <c r="AD44" s="1049"/>
      <c r="AE44" s="1049"/>
      <c r="AF44" s="1049"/>
      <c r="AG44" s="1049"/>
      <c r="AH44" s="1049"/>
      <c r="AI44" s="1049"/>
      <c r="AJ44" s="1049"/>
      <c r="AK44" s="1049"/>
      <c r="AL44" s="1071"/>
      <c r="AM44" s="1049"/>
      <c r="AN44" s="1049"/>
      <c r="AO44" s="1071" t="str">
        <f>H2&amp;", g"</f>
        <v>XP, g</v>
      </c>
      <c r="AP44" s="1100">
        <f t="shared" ref="AP44:AX44" si="82">(AP$4*$H$4*$E$4+AP$5*$H$5*$E$5+AP$6*$H$6*$E$6+AP$7*$H$7*$E$7+AP$8*$H$8*$E$8+AP$9*$H$9*$E$9+AP$10*$H$10*$E$10+AP$11*$H$11*$E$11+AP$12*$H$12*$E$12+AP$13*$H$13*$E$13+AP$14*$H$14*$E$14+AP$15*$H$15*$E$15+AP$16*$H$16*$E$16+AP$17*$H$17*$E$17+AP$18*$H$18*$E$18+AP$19*$H$19*$E$19+AP$20*$H$20*$E$20+AP$21*$H$21*$E$21+AP$22*$H$22*$E$22+AP$23*$H$23*$E$23+AP$24*$H$24*$E$24)/100</f>
        <v>0</v>
      </c>
      <c r="AQ44" s="1100">
        <f t="shared" si="82"/>
        <v>0</v>
      </c>
      <c r="AR44" s="1100">
        <f t="shared" si="82"/>
        <v>0</v>
      </c>
      <c r="AS44" s="1100">
        <f t="shared" si="82"/>
        <v>0</v>
      </c>
      <c r="AT44" s="1100">
        <f t="shared" si="82"/>
        <v>0</v>
      </c>
      <c r="AU44" s="1100">
        <f t="shared" si="82"/>
        <v>0</v>
      </c>
      <c r="AV44" s="1100">
        <f t="shared" si="82"/>
        <v>0</v>
      </c>
      <c r="AW44" s="1100">
        <f t="shared" si="82"/>
        <v>0</v>
      </c>
      <c r="AX44" s="1100">
        <f t="shared" si="82"/>
        <v>0</v>
      </c>
      <c r="AY44" s="1098"/>
      <c r="AZ44" s="1098"/>
      <c r="BA44" s="1098"/>
      <c r="BB44" s="1098"/>
      <c r="BC44" s="1098"/>
      <c r="BD44" s="1098"/>
      <c r="BE44" s="1098"/>
      <c r="BF44" s="1098"/>
      <c r="BG44" s="1098"/>
      <c r="BH44" s="1098"/>
      <c r="BI44" s="1098"/>
    </row>
    <row r="45" spans="1:61" ht="21.75" customHeight="1" x14ac:dyDescent="0.2">
      <c r="A45" s="1036"/>
      <c r="B45" s="1047"/>
      <c r="C45" s="1047"/>
      <c r="D45" s="1049"/>
      <c r="E45" s="1049"/>
      <c r="F45" s="1049"/>
      <c r="G45" s="1049"/>
      <c r="H45" s="1049"/>
      <c r="I45" s="1049"/>
      <c r="J45" s="1049"/>
      <c r="K45" s="1049"/>
      <c r="L45" s="1049"/>
      <c r="M45" s="1049"/>
      <c r="N45" s="1049"/>
      <c r="O45" s="1049"/>
      <c r="P45" s="1049"/>
      <c r="Q45" s="1049"/>
      <c r="R45" s="1049"/>
      <c r="S45" s="1049"/>
      <c r="T45" s="1049"/>
      <c r="U45" s="1049"/>
      <c r="V45" s="1049"/>
      <c r="W45" s="1049"/>
      <c r="X45" s="1049"/>
      <c r="Y45" s="1049"/>
      <c r="Z45" s="1049"/>
      <c r="AA45" s="1049"/>
      <c r="AB45" s="1049"/>
      <c r="AC45" s="1049"/>
      <c r="AD45" s="1049"/>
      <c r="AE45" s="1049"/>
      <c r="AF45" s="1049"/>
      <c r="AG45" s="1049"/>
      <c r="AH45" s="1049"/>
      <c r="AI45" s="1049"/>
      <c r="AJ45" s="1049"/>
      <c r="AK45" s="1049"/>
      <c r="AL45" s="1071"/>
      <c r="AM45" s="1049"/>
      <c r="AN45" s="1049"/>
      <c r="AO45" s="1071" t="str">
        <f>H2&amp;"g/kg TM"</f>
        <v>XPg/kg TM</v>
      </c>
      <c r="AP45" s="1100">
        <f t="shared" ref="AP45:AX45" si="83">IF(AP26=0,0,AP44/AP26)</f>
        <v>0</v>
      </c>
      <c r="AQ45" s="1100">
        <f t="shared" si="83"/>
        <v>0</v>
      </c>
      <c r="AR45" s="1100">
        <f t="shared" si="83"/>
        <v>0</v>
      </c>
      <c r="AS45" s="1100">
        <f t="shared" si="83"/>
        <v>0</v>
      </c>
      <c r="AT45" s="1100">
        <f t="shared" si="83"/>
        <v>0</v>
      </c>
      <c r="AU45" s="1100">
        <f t="shared" si="83"/>
        <v>0</v>
      </c>
      <c r="AV45" s="1100">
        <f t="shared" si="83"/>
        <v>0</v>
      </c>
      <c r="AW45" s="1100">
        <f t="shared" si="83"/>
        <v>0</v>
      </c>
      <c r="AX45" s="1100">
        <f t="shared" si="83"/>
        <v>0</v>
      </c>
      <c r="AY45" s="1098"/>
      <c r="AZ45" s="1098"/>
      <c r="BA45" s="1098"/>
      <c r="BB45" s="1098"/>
      <c r="BC45" s="1098"/>
      <c r="BD45" s="1098"/>
      <c r="BE45" s="1098"/>
      <c r="BF45" s="1098"/>
      <c r="BG45" s="1098"/>
      <c r="BH45" s="1098"/>
      <c r="BI45" s="1098"/>
    </row>
    <row r="46" spans="1:61" ht="21.75" customHeight="1" x14ac:dyDescent="0.2">
      <c r="A46" s="1036"/>
      <c r="B46" s="1047"/>
      <c r="C46" s="1047"/>
      <c r="D46" s="1049"/>
      <c r="E46" s="1049"/>
      <c r="F46" s="1049"/>
      <c r="G46" s="1049"/>
      <c r="H46" s="1049"/>
      <c r="I46" s="1049"/>
      <c r="J46" s="1049"/>
      <c r="K46" s="1049"/>
      <c r="L46" s="1049"/>
      <c r="M46" s="1049"/>
      <c r="N46" s="1049"/>
      <c r="O46" s="1049"/>
      <c r="P46" s="1049"/>
      <c r="Q46" s="1049"/>
      <c r="R46" s="1049"/>
      <c r="S46" s="1049"/>
      <c r="T46" s="1049"/>
      <c r="U46" s="1049"/>
      <c r="V46" s="1049"/>
      <c r="W46" s="1049"/>
      <c r="X46" s="1049"/>
      <c r="Y46" s="1049"/>
      <c r="Z46" s="1049"/>
      <c r="AA46" s="1049"/>
      <c r="AB46" s="1049"/>
      <c r="AC46" s="1049"/>
      <c r="AD46" s="1049"/>
      <c r="AE46" s="1049"/>
      <c r="AF46" s="1049"/>
      <c r="AG46" s="1049"/>
      <c r="AH46" s="1049"/>
      <c r="AI46" s="1049"/>
      <c r="AJ46" s="1049"/>
      <c r="AK46" s="1049"/>
      <c r="AL46" s="1071"/>
      <c r="AM46" s="1049"/>
      <c r="AN46" s="1049"/>
      <c r="AO46" s="1071" t="str">
        <f>I2&amp;" g"</f>
        <v>UDP g</v>
      </c>
      <c r="AP46" s="1100">
        <f t="shared" ref="AP46:AX46" si="84">IF(AP26=0,0,(AP$4*$I$4*$E$4*$H4+AP$5*$I$5*$E$5*$H5+AP$6*$I$6*$E$6*$H6+AP$7*$I$7*$E$7*$H7+AP$8*$I$8*$E$8*$H8+AP$9*$I$9*$E$9*$H9+AP$10*$I$10*$E$10*$H10+AP$11*$I$11*$E$11*$H11+AP$12*$I$12*$E$12*$H12+AP$13*$I$13*$E$13*$H13+AP$14*$I$14*$E$14*$H14+AP$15*$I$15*$E$15*$H15+AP$16*$I$16*$E$16*$H16+AP$17*$I$17*$E$17*$H17+AP$18*$I$18*$E$18*$H18+AP$19*$I$19*$E$19*$H19+AP$20*$I$20*$E$20*$H20+AP$21*$I$21*$E$21*$H21+AP$22*$I$22*$E$22*$H22+AP$23*$I$23*$E$23*$H23+AP$24*$I$24*$E$24*$H24)/100)</f>
        <v>0</v>
      </c>
      <c r="AQ46" s="1100">
        <f t="shared" si="84"/>
        <v>0</v>
      </c>
      <c r="AR46" s="1100">
        <f t="shared" si="84"/>
        <v>0</v>
      </c>
      <c r="AS46" s="1100">
        <f t="shared" si="84"/>
        <v>0</v>
      </c>
      <c r="AT46" s="1100">
        <f t="shared" si="84"/>
        <v>0</v>
      </c>
      <c r="AU46" s="1100">
        <f t="shared" si="84"/>
        <v>0</v>
      </c>
      <c r="AV46" s="1100">
        <f t="shared" si="84"/>
        <v>0</v>
      </c>
      <c r="AW46" s="1100">
        <f t="shared" si="84"/>
        <v>0</v>
      </c>
      <c r="AX46" s="1100">
        <f t="shared" si="84"/>
        <v>0</v>
      </c>
      <c r="AY46" s="1098"/>
      <c r="AZ46" s="1098"/>
      <c r="BA46" s="1098"/>
      <c r="BB46" s="1098"/>
      <c r="BC46" s="1098"/>
      <c r="BD46" s="1098"/>
      <c r="BE46" s="1098"/>
      <c r="BF46" s="1098"/>
      <c r="BG46" s="1098"/>
      <c r="BH46" s="1098"/>
      <c r="BI46" s="1098"/>
    </row>
    <row r="47" spans="1:61" ht="21.75" customHeight="1" x14ac:dyDescent="0.2">
      <c r="A47" s="1036"/>
      <c r="B47" s="1047"/>
      <c r="C47" s="1047"/>
      <c r="D47" s="1049"/>
      <c r="E47" s="1049"/>
      <c r="F47" s="1049"/>
      <c r="G47" s="1049"/>
      <c r="H47" s="1049"/>
      <c r="I47" s="1049"/>
      <c r="J47" s="1049"/>
      <c r="K47" s="1049"/>
      <c r="L47" s="1049"/>
      <c r="M47" s="1049"/>
      <c r="N47" s="1049"/>
      <c r="O47" s="1049"/>
      <c r="P47" s="1049"/>
      <c r="Q47" s="1049"/>
      <c r="R47" s="1049"/>
      <c r="S47" s="1049"/>
      <c r="T47" s="1049"/>
      <c r="U47" s="1049"/>
      <c r="V47" s="1049"/>
      <c r="W47" s="1049"/>
      <c r="X47" s="1049"/>
      <c r="Y47" s="1049"/>
      <c r="Z47" s="1049"/>
      <c r="AA47" s="1049"/>
      <c r="AB47" s="1049"/>
      <c r="AC47" s="1049"/>
      <c r="AD47" s="1049"/>
      <c r="AE47" s="1049"/>
      <c r="AF47" s="1049"/>
      <c r="AG47" s="1049"/>
      <c r="AH47" s="1049"/>
      <c r="AI47" s="1049"/>
      <c r="AJ47" s="1049"/>
      <c r="AK47" s="1049"/>
      <c r="AL47" s="1071"/>
      <c r="AM47" s="1049"/>
      <c r="AN47" s="1049"/>
      <c r="AO47" s="1071" t="str">
        <f>I2 &amp; ", %"</f>
        <v>UDP, %</v>
      </c>
      <c r="AP47" s="126" t="str">
        <f t="shared" ref="AP47:AX47" si="85">IF(AP46=0,"",AP46/AP44)</f>
        <v/>
      </c>
      <c r="AQ47" s="126" t="str">
        <f t="shared" si="85"/>
        <v/>
      </c>
      <c r="AR47" s="126" t="str">
        <f>IF(AR46=0,"",AR46/AR44)</f>
        <v/>
      </c>
      <c r="AS47" s="126" t="str">
        <f t="shared" si="85"/>
        <v/>
      </c>
      <c r="AT47" s="126" t="str">
        <f t="shared" si="85"/>
        <v/>
      </c>
      <c r="AU47" s="126" t="str">
        <f t="shared" si="85"/>
        <v/>
      </c>
      <c r="AV47" s="126" t="str">
        <f t="shared" si="85"/>
        <v/>
      </c>
      <c r="AW47" s="126" t="str">
        <f t="shared" si="85"/>
        <v/>
      </c>
      <c r="AX47" s="126" t="str">
        <f t="shared" si="85"/>
        <v/>
      </c>
      <c r="AY47" s="1098"/>
      <c r="AZ47" s="1098"/>
      <c r="BA47" s="1098"/>
      <c r="BB47" s="1098"/>
      <c r="BC47" s="1098"/>
      <c r="BD47" s="1098"/>
      <c r="BE47" s="1098"/>
      <c r="BF47" s="1098"/>
      <c r="BG47" s="1098"/>
      <c r="BH47" s="1098"/>
      <c r="BI47" s="1098"/>
    </row>
    <row r="48" spans="1:61" ht="21.75" customHeight="1" x14ac:dyDescent="0.2">
      <c r="A48" s="1036"/>
      <c r="B48" s="1047"/>
      <c r="C48" s="1047"/>
      <c r="D48" s="1049"/>
      <c r="E48" s="1049"/>
      <c r="F48" s="1049"/>
      <c r="G48" s="1049"/>
      <c r="H48" s="1049"/>
      <c r="I48" s="1049"/>
      <c r="J48" s="1049"/>
      <c r="K48" s="1049"/>
      <c r="L48" s="1049"/>
      <c r="M48" s="1049"/>
      <c r="N48" s="1049"/>
      <c r="O48" s="1049"/>
      <c r="P48" s="1049"/>
      <c r="Q48" s="1049"/>
      <c r="R48" s="1049"/>
      <c r="S48" s="1049"/>
      <c r="T48" s="1049"/>
      <c r="U48" s="1049"/>
      <c r="V48" s="1049"/>
      <c r="W48" s="1049"/>
      <c r="X48" s="1049"/>
      <c r="Y48" s="1049"/>
      <c r="Z48" s="1049"/>
      <c r="AA48" s="1049"/>
      <c r="AB48" s="1049"/>
      <c r="AC48" s="1049"/>
      <c r="AD48" s="1049"/>
      <c r="AE48" s="1049"/>
      <c r="AF48" s="1049"/>
      <c r="AG48" s="1049"/>
      <c r="AH48" s="1049"/>
      <c r="AI48" s="1049"/>
      <c r="AJ48" s="1049"/>
      <c r="AK48" s="1049"/>
      <c r="AL48" s="1071"/>
      <c r="AM48" s="1049"/>
      <c r="AN48" s="1049"/>
      <c r="AO48" s="1071" t="str">
        <f>J2&amp;", g"</f>
        <v>nXP, g</v>
      </c>
      <c r="AP48" s="1100">
        <f t="shared" ref="AP48:AX48" si="86">(AP$4*$J$4*$E$4+AP$5*$J$5*$E$5+AP$6*$J$6*$E$6+AP$7*$J$7*$E$7+AP$8*$J$8*$E$8+AP$9*$J$9*$E$9+AP$10*$J$10*$E$10+AP$11*$J$11*$E$11+AP$12*$J$12*$E$12+AP$13*$J$13*$E$13+AP$14*$J$14*$E$14+AP$15*$J$15*$E$15+AP$16*$J$16*$E$16+AP$17*$J$17*$E$17+AP$18*$J$18*$E$18+AP$19*$J$19*$E$19+AP$20*$J$20*$E$20+AP$21*$J$21*$E$21+AP$22*$J$22*$E$22+AP$23*$J$23*$E$23+AP$24*$J$24*$E$24)/100</f>
        <v>0</v>
      </c>
      <c r="AQ48" s="1100">
        <f t="shared" si="86"/>
        <v>0</v>
      </c>
      <c r="AR48" s="1100">
        <f t="shared" si="86"/>
        <v>0</v>
      </c>
      <c r="AS48" s="1100">
        <f t="shared" si="86"/>
        <v>0</v>
      </c>
      <c r="AT48" s="1100">
        <f t="shared" si="86"/>
        <v>0</v>
      </c>
      <c r="AU48" s="1100">
        <f t="shared" si="86"/>
        <v>0</v>
      </c>
      <c r="AV48" s="1100">
        <f t="shared" si="86"/>
        <v>0</v>
      </c>
      <c r="AW48" s="1100">
        <f t="shared" si="86"/>
        <v>0</v>
      </c>
      <c r="AX48" s="1100">
        <f t="shared" si="86"/>
        <v>0</v>
      </c>
      <c r="AY48" s="1098"/>
      <c r="AZ48" s="1098"/>
      <c r="BA48" s="1098"/>
      <c r="BB48" s="1098"/>
      <c r="BC48" s="1098"/>
      <c r="BD48" s="1098"/>
      <c r="BE48" s="1098"/>
      <c r="BF48" s="1098"/>
      <c r="BG48" s="1098"/>
      <c r="BH48" s="1098"/>
      <c r="BI48" s="1098"/>
    </row>
    <row r="49" spans="1:61" ht="21.75" customHeight="1" x14ac:dyDescent="0.2">
      <c r="A49" s="1036"/>
      <c r="B49" s="1047"/>
      <c r="C49" s="1047"/>
      <c r="D49" s="1049"/>
      <c r="E49" s="1049"/>
      <c r="F49" s="1049"/>
      <c r="G49" s="1049"/>
      <c r="H49" s="1049"/>
      <c r="I49" s="1049"/>
      <c r="J49" s="1049"/>
      <c r="K49" s="1049"/>
      <c r="L49" s="1049"/>
      <c r="M49" s="1049"/>
      <c r="N49" s="1049"/>
      <c r="O49" s="1049"/>
      <c r="P49" s="1049"/>
      <c r="Q49" s="1049"/>
      <c r="R49" s="1049"/>
      <c r="S49" s="1049"/>
      <c r="T49" s="1049"/>
      <c r="U49" s="1049"/>
      <c r="V49" s="1049"/>
      <c r="W49" s="1049"/>
      <c r="X49" s="1049"/>
      <c r="Y49" s="1049"/>
      <c r="Z49" s="1049"/>
      <c r="AA49" s="1049"/>
      <c r="AB49" s="1049"/>
      <c r="AC49" s="1049"/>
      <c r="AD49" s="1049"/>
      <c r="AE49" s="1049"/>
      <c r="AF49" s="1049"/>
      <c r="AG49" s="1049"/>
      <c r="AH49" s="1049"/>
      <c r="AI49" s="1049"/>
      <c r="AJ49" s="1049"/>
      <c r="AK49" s="1049"/>
      <c r="AL49" s="1071"/>
      <c r="AM49" s="1049"/>
      <c r="AN49" s="1049"/>
      <c r="AO49" s="1071" t="str">
        <f>K2</f>
        <v>RNB</v>
      </c>
      <c r="AP49" s="1099">
        <f t="shared" ref="AP49:AX49" si="87">(AP$4*$K$4*$E$4+AP$5*$K$5*$E$5+AP$6*$K$6*$E$6+AP$7*$K$7*$E$7+AP$8*$K$8*$E$8+AP$9*$K$9*$E$9+AP$10*$K$10*$E$10+AP$11*$K$11*$E$11+AP$12*$K$12*$E$12+AP$13*$K$13*$E$13+AP$14*$K$14*$E$14+AP$15*$K$15*$E$15+AP$16*$K$16*$E$16+AP$17*$K$17*$E$17+AP$18*$K$18*$E$18+AP$19*$K$19*$E$19+AP$20*$K$20*$E$20+AP$21*$K$21*$E$21+AP$22*$K$22*$E$22+AP$23*$K$23*$E$23+AP$24*$K$24*$E$24)/100</f>
        <v>0</v>
      </c>
      <c r="AQ49" s="1099">
        <f t="shared" si="87"/>
        <v>0</v>
      </c>
      <c r="AR49" s="1099">
        <f t="shared" si="87"/>
        <v>0</v>
      </c>
      <c r="AS49" s="1099">
        <f t="shared" si="87"/>
        <v>0</v>
      </c>
      <c r="AT49" s="1099">
        <f t="shared" si="87"/>
        <v>0</v>
      </c>
      <c r="AU49" s="1099">
        <f t="shared" si="87"/>
        <v>0</v>
      </c>
      <c r="AV49" s="1099">
        <f t="shared" si="87"/>
        <v>0</v>
      </c>
      <c r="AW49" s="1099">
        <f t="shared" si="87"/>
        <v>0</v>
      </c>
      <c r="AX49" s="1099">
        <f t="shared" si="87"/>
        <v>0</v>
      </c>
      <c r="AY49" s="1098"/>
      <c r="AZ49" s="1098"/>
      <c r="BA49" s="1098"/>
      <c r="BB49" s="1098"/>
      <c r="BC49" s="1098"/>
      <c r="BD49" s="1098"/>
      <c r="BE49" s="1098"/>
      <c r="BF49" s="1098"/>
      <c r="BG49" s="1098"/>
      <c r="BH49" s="1098"/>
      <c r="BI49" s="1098"/>
    </row>
    <row r="50" spans="1:61" ht="21.75" customHeight="1" x14ac:dyDescent="0.2">
      <c r="A50" s="1036"/>
      <c r="B50" s="1047"/>
      <c r="C50" s="1047"/>
      <c r="D50" s="1049"/>
      <c r="E50" s="1049"/>
      <c r="F50" s="1049"/>
      <c r="G50" s="1049"/>
      <c r="H50" s="1049"/>
      <c r="I50" s="1049"/>
      <c r="J50" s="1049"/>
      <c r="K50" s="1049"/>
      <c r="L50" s="1049"/>
      <c r="M50" s="1049"/>
      <c r="N50" s="1049"/>
      <c r="O50" s="1049"/>
      <c r="P50" s="1049"/>
      <c r="Q50" s="1049"/>
      <c r="R50" s="1049"/>
      <c r="S50" s="1049"/>
      <c r="T50" s="1049"/>
      <c r="U50" s="1049"/>
      <c r="V50" s="1049"/>
      <c r="W50" s="1049"/>
      <c r="X50" s="1049"/>
      <c r="Y50" s="1049"/>
      <c r="Z50" s="1049"/>
      <c r="AA50" s="1049"/>
      <c r="AB50" s="1049"/>
      <c r="AC50" s="1049"/>
      <c r="AD50" s="1049"/>
      <c r="AE50" s="1049"/>
      <c r="AF50" s="1049"/>
      <c r="AG50" s="1049"/>
      <c r="AH50" s="1049"/>
      <c r="AI50" s="1049"/>
      <c r="AJ50" s="1049"/>
      <c r="AK50" s="1049"/>
      <c r="AL50" s="1071"/>
      <c r="AM50" s="1038"/>
      <c r="AN50" s="1049"/>
      <c r="AO50" s="1071">
        <f>L2</f>
        <v>0</v>
      </c>
      <c r="AP50" s="1099">
        <f>AP53/(AP53/1000+(AP58/1000-2.8)/0.36)/10</f>
        <v>0</v>
      </c>
      <c r="AQ50" s="1099">
        <f>AQ53/(AQ53/1000+(AQ58/1000-2.8)/0.36)/10</f>
        <v>0</v>
      </c>
      <c r="AR50" s="1099">
        <f t="shared" ref="AR50:AX50" si="88">AR53/(AR53/1000+(AR58/1000-2.8)/0.36)/10</f>
        <v>0</v>
      </c>
      <c r="AS50" s="1099">
        <f t="shared" si="88"/>
        <v>0</v>
      </c>
      <c r="AT50" s="1099">
        <f t="shared" si="88"/>
        <v>0</v>
      </c>
      <c r="AU50" s="1099">
        <f t="shared" si="88"/>
        <v>0</v>
      </c>
      <c r="AV50" s="1099">
        <f t="shared" si="88"/>
        <v>0</v>
      </c>
      <c r="AW50" s="1099">
        <f t="shared" si="88"/>
        <v>0</v>
      </c>
      <c r="AX50" s="1099">
        <f t="shared" si="88"/>
        <v>0</v>
      </c>
      <c r="AY50" s="1098"/>
      <c r="AZ50" s="1098"/>
      <c r="BA50" s="1098"/>
      <c r="BB50" s="1098"/>
      <c r="BC50" s="1098"/>
      <c r="BD50" s="1098"/>
      <c r="BE50" s="1098"/>
      <c r="BF50" s="1098"/>
      <c r="BG50" s="1098"/>
      <c r="BH50" s="1098"/>
      <c r="BI50" s="1098"/>
    </row>
    <row r="51" spans="1:61" ht="21.75" customHeight="1" x14ac:dyDescent="0.2">
      <c r="A51" s="1036"/>
      <c r="B51" s="1047"/>
      <c r="C51" s="1047"/>
      <c r="D51" s="1049"/>
      <c r="E51" s="1049"/>
      <c r="F51" s="1049"/>
      <c r="G51" s="1049"/>
      <c r="H51" s="1049"/>
      <c r="I51" s="1049"/>
      <c r="J51" s="1049"/>
      <c r="K51" s="1049"/>
      <c r="L51" s="1049"/>
      <c r="M51" s="1049"/>
      <c r="N51" s="1049"/>
      <c r="O51" s="1049"/>
      <c r="P51" s="1049"/>
      <c r="Q51" s="1049"/>
      <c r="R51" s="1049"/>
      <c r="S51" s="1049"/>
      <c r="T51" s="1049"/>
      <c r="U51" s="1049"/>
      <c r="V51" s="1049"/>
      <c r="W51" s="1049"/>
      <c r="X51" s="1049"/>
      <c r="Y51" s="1049"/>
      <c r="Z51" s="1049"/>
      <c r="AA51" s="1049"/>
      <c r="AB51" s="1049"/>
      <c r="AC51" s="1049"/>
      <c r="AD51" s="1049"/>
      <c r="AE51" s="1049"/>
      <c r="AF51" s="1049"/>
      <c r="AG51" s="1049"/>
      <c r="AH51" s="1049"/>
      <c r="AI51" s="1049"/>
      <c r="AJ51" s="1049"/>
      <c r="AK51" s="1049"/>
      <c r="AL51" s="1071"/>
      <c r="AM51" s="1049"/>
      <c r="AN51" s="1049"/>
      <c r="AO51" s="1071" t="str">
        <f>M2</f>
        <v>ADF</v>
      </c>
      <c r="AP51" s="1099">
        <f t="shared" ref="AP51:AX51" si="89">(AP$4*$M$4*$E$4+AP$5*$M$5*$E$5+AP$6*$M$6*$E$6+AP$7*$M$7*$E$7+AP$8*$M$8*$E$8+AP$9*$M$9*$E$9+AP$10*$M$10*$E$10+AP$11*$M$11*$E$11+AP$12*$M$12*$E$12+AP$13*$M$13*$E$13+AP$14*$M$14*$E$14+AP$15*$M$15*$E$15+AP$16*$M$16*$E$16+AP$17*$M$17*$E$17+AP$18*$M$18*$E$18+AP$19*$M$19*$E$19+AP$20*$M$20*$E$20+AP$21*$M$21*$E$21+AP$22*$M$22*$E$22+AP$23*$M$23*$E$23+AP$24*$M$24*$E$24)/100</f>
        <v>0</v>
      </c>
      <c r="AQ51" s="1099">
        <f t="shared" si="89"/>
        <v>0</v>
      </c>
      <c r="AR51" s="1099">
        <f t="shared" si="89"/>
        <v>0</v>
      </c>
      <c r="AS51" s="1099">
        <f t="shared" si="89"/>
        <v>0</v>
      </c>
      <c r="AT51" s="1099">
        <f t="shared" si="89"/>
        <v>0</v>
      </c>
      <c r="AU51" s="1099">
        <f t="shared" si="89"/>
        <v>0</v>
      </c>
      <c r="AV51" s="1099">
        <f t="shared" si="89"/>
        <v>0</v>
      </c>
      <c r="AW51" s="1099">
        <f t="shared" si="89"/>
        <v>0</v>
      </c>
      <c r="AX51" s="1099">
        <f t="shared" si="89"/>
        <v>0</v>
      </c>
      <c r="AY51" s="1098"/>
      <c r="AZ51" s="1098"/>
      <c r="BA51" s="1098"/>
      <c r="BB51" s="1098"/>
      <c r="BC51" s="1098"/>
      <c r="BD51" s="1098"/>
      <c r="BE51" s="1098"/>
      <c r="BF51" s="1098"/>
      <c r="BG51" s="1098"/>
      <c r="BH51" s="1098"/>
      <c r="BI51" s="1098"/>
    </row>
    <row r="52" spans="1:61" ht="15.75" customHeight="1" x14ac:dyDescent="0.2">
      <c r="A52" s="1036"/>
      <c r="B52" s="1047"/>
      <c r="C52" s="1047"/>
      <c r="D52" s="1049"/>
      <c r="E52" s="1049"/>
      <c r="F52" s="1049"/>
      <c r="G52" s="1049"/>
      <c r="H52" s="1049"/>
      <c r="I52" s="1049"/>
      <c r="J52" s="1049"/>
      <c r="K52" s="1049"/>
      <c r="L52" s="1049"/>
      <c r="M52" s="1049"/>
      <c r="N52" s="1049"/>
      <c r="O52" s="1049"/>
      <c r="P52" s="1049"/>
      <c r="Q52" s="1049"/>
      <c r="R52" s="1049"/>
      <c r="S52" s="1049"/>
      <c r="T52" s="1049"/>
      <c r="U52" s="1049"/>
      <c r="V52" s="1049"/>
      <c r="W52" s="1049"/>
      <c r="X52" s="1049"/>
      <c r="Y52" s="1049"/>
      <c r="Z52" s="1049"/>
      <c r="AA52" s="1049"/>
      <c r="AB52" s="1049"/>
      <c r="AC52" s="1049"/>
      <c r="AD52" s="1049"/>
      <c r="AE52" s="1049"/>
      <c r="AF52" s="1049"/>
      <c r="AG52" s="1049"/>
      <c r="AH52" s="1049"/>
      <c r="AI52" s="1049"/>
      <c r="AJ52" s="1049"/>
      <c r="AK52" s="1049"/>
      <c r="AL52" s="1049"/>
      <c r="AM52" s="1049"/>
      <c r="AN52" s="1049"/>
      <c r="AO52" s="1071" t="str">
        <f>N2&amp;", g"</f>
        <v>aNDFom, g</v>
      </c>
      <c r="AP52" s="1100">
        <f t="shared" ref="AP52:AX52" si="90">(AP$4*$N$4*$E$4+AP$5*$N$5*$E$5+AP$6*$N$6*$E$6+AP$7*$N$7*$E$7+AP$8*$N$8*$E$8+AP$9*$N$9*$E$9+AP$10*$N$10*$E$10+AP$11*$N$11*$E$11+AP$12*$N$12*$E$12+AP$13*$N$13*$E$13+AP$14*$N$14*$E$14+AP$15*$N$15*$E$15+AP$16*$N$16*$E$16+AP$17*$N$17*$E$17+AP$18*$N$18*$E$18+AP$19*$N$19*$E$19+AP$20*$N$20*$E$20+AP$21*$N$21*$E$21+AP$22*$N$22*$E$22+AP$23*$N$23*$E$23+AP$24*$N$24*$E$24)/100</f>
        <v>0</v>
      </c>
      <c r="AQ52" s="1100">
        <f t="shared" si="90"/>
        <v>0</v>
      </c>
      <c r="AR52" s="1100">
        <f t="shared" si="90"/>
        <v>0</v>
      </c>
      <c r="AS52" s="1100">
        <f t="shared" si="90"/>
        <v>0</v>
      </c>
      <c r="AT52" s="1100">
        <f t="shared" si="90"/>
        <v>0</v>
      </c>
      <c r="AU52" s="1100">
        <f t="shared" si="90"/>
        <v>0</v>
      </c>
      <c r="AV52" s="1100">
        <f t="shared" si="90"/>
        <v>0</v>
      </c>
      <c r="AW52" s="1100">
        <f t="shared" si="90"/>
        <v>0</v>
      </c>
      <c r="AX52" s="1100">
        <f t="shared" si="90"/>
        <v>0</v>
      </c>
      <c r="AY52" s="1049"/>
      <c r="AZ52" s="1049"/>
      <c r="BA52" s="1049"/>
      <c r="BB52" s="1049"/>
      <c r="BC52" s="1049"/>
      <c r="BD52" s="1049"/>
      <c r="BE52" s="1049"/>
      <c r="BF52" s="1049"/>
      <c r="BG52" s="1049"/>
      <c r="BH52" s="1049"/>
      <c r="BI52" s="1047"/>
    </row>
    <row r="53" spans="1:61" ht="15.75" customHeight="1" x14ac:dyDescent="0.2">
      <c r="A53" s="1036"/>
      <c r="B53" s="1047"/>
      <c r="C53" s="1047"/>
      <c r="D53" s="1049"/>
      <c r="E53" s="1049"/>
      <c r="F53" s="1049"/>
      <c r="G53" s="1049"/>
      <c r="H53" s="1049"/>
      <c r="I53" s="1049"/>
      <c r="J53" s="1049"/>
      <c r="K53" s="1049"/>
      <c r="L53" s="1049"/>
      <c r="M53" s="1049"/>
      <c r="N53" s="1049"/>
      <c r="O53" s="1049"/>
      <c r="P53" s="1049"/>
      <c r="Q53" s="1049"/>
      <c r="R53" s="1049"/>
      <c r="S53" s="1049"/>
      <c r="T53" s="1049"/>
      <c r="U53" s="1049"/>
      <c r="V53" s="1049"/>
      <c r="W53" s="1049"/>
      <c r="X53" s="1049"/>
      <c r="Y53" s="1049"/>
      <c r="Z53" s="1049"/>
      <c r="AA53" s="1049"/>
      <c r="AB53" s="1049"/>
      <c r="AC53" s="1049"/>
      <c r="AD53" s="1049"/>
      <c r="AE53" s="1049"/>
      <c r="AF53" s="1049"/>
      <c r="AG53" s="1049"/>
      <c r="AH53" s="1049"/>
      <c r="AI53" s="1049"/>
      <c r="AJ53" s="1049"/>
      <c r="AK53" s="1049"/>
      <c r="AL53" s="1049"/>
      <c r="AM53" s="1049"/>
      <c r="AN53" s="1049"/>
      <c r="AO53" s="1071" t="str">
        <f>N2&amp;"GF, g"</f>
        <v>aNDFomGF, g</v>
      </c>
      <c r="AP53" s="1100">
        <f>(AP$4*$O$4*$E$4+AP$5*$O$5*$E$5+AP$6*$O$6*$E$6+AP$7*$O$7*$E$7+AP$8*$O$8*$E$8+AP$9*$O$9*$E$9+AP$10*$O$10*$E$10+AP$11*$O$11*$E$11+AP$12*$O$12*$E$12+AP$13*$O$13*$E$13+AP$14*$O$14*$E$14+AP$15*$O$15*$E$15+AP$16*$O$16*$E$16+AP$17*$O$17*$E$17+AP$18*$O$18*$E$18+AP$19*$O$19*$E$19+AP$20*$O$20*$E$20+AP$21*$O$21*$E$21+AP$22*$O$22*$E$22+AP$23*$O$23*$E$23+AP$24*$O$24*$E$24)/100</f>
        <v>0</v>
      </c>
      <c r="AQ53" s="1100">
        <f t="shared" ref="AQ53:AX53" si="91">(AQ$4*$O$4*$E$4+AQ$5*$O$5*$E$5+AQ$6*$O$6*$E$6+AQ$7*$O$7*$E$7+AQ$8*$O$8*$E$8+AQ$9*$O$9*$E$9+AQ$10*$O$10*$E$10+AQ$11*$O$11*$E$11+AQ$12*$O$12*$E$12+AQ$13*$O$13*$E$13+AQ$14*$O$14*$E$14+AQ$15*$O$15*$E$15+AQ$16*$O$16*$E$16+AQ$17*$O$17*$E$17+AQ$18*$O$18*$E$18+AQ$19*$O$19*$E$19+AQ$20*$O$20*$E$20+AQ$21*$O$21*$E$21+AQ$22*$O$22*$E$22+AQ$23*$O$23*$E$23+AQ$24*$O$24*$E$24)/100</f>
        <v>0</v>
      </c>
      <c r="AR53" s="1100">
        <f t="shared" si="91"/>
        <v>0</v>
      </c>
      <c r="AS53" s="1100">
        <f t="shared" si="91"/>
        <v>0</v>
      </c>
      <c r="AT53" s="1100">
        <f t="shared" si="91"/>
        <v>0</v>
      </c>
      <c r="AU53" s="1100">
        <f t="shared" si="91"/>
        <v>0</v>
      </c>
      <c r="AV53" s="1100">
        <f t="shared" si="91"/>
        <v>0</v>
      </c>
      <c r="AW53" s="1100">
        <f t="shared" si="91"/>
        <v>0</v>
      </c>
      <c r="AX53" s="1100">
        <f t="shared" si="91"/>
        <v>0</v>
      </c>
      <c r="AY53" s="1049"/>
      <c r="AZ53" s="1049"/>
      <c r="BA53" s="1049"/>
      <c r="BB53" s="1049"/>
      <c r="BC53" s="1049"/>
      <c r="BD53" s="1049"/>
      <c r="BE53" s="1049"/>
      <c r="BF53" s="1049"/>
      <c r="BG53" s="1049"/>
      <c r="BH53" s="1049"/>
      <c r="BI53" s="1047"/>
    </row>
    <row r="54" spans="1:61" ht="15.75" customHeight="1" x14ac:dyDescent="0.2">
      <c r="A54" s="1036"/>
      <c r="B54" s="1047"/>
      <c r="C54" s="1047"/>
      <c r="D54" s="1049"/>
      <c r="E54" s="1049"/>
      <c r="F54" s="1049"/>
      <c r="G54" s="1049"/>
      <c r="H54" s="1049"/>
      <c r="I54" s="1049"/>
      <c r="J54" s="1049"/>
      <c r="K54" s="1049"/>
      <c r="L54" s="1049"/>
      <c r="M54" s="1049"/>
      <c r="N54" s="1049"/>
      <c r="O54" s="1049"/>
      <c r="P54" s="1049"/>
      <c r="Q54" s="1049"/>
      <c r="R54" s="1049"/>
      <c r="S54" s="1049"/>
      <c r="T54" s="1049"/>
      <c r="U54" s="1049"/>
      <c r="V54" s="1049"/>
      <c r="W54" s="1049"/>
      <c r="X54" s="1049"/>
      <c r="Y54" s="1049"/>
      <c r="Z54" s="1049"/>
      <c r="AA54" s="1049"/>
      <c r="AB54" s="1049"/>
      <c r="AC54" s="1049"/>
      <c r="AD54" s="1049"/>
      <c r="AE54" s="1049"/>
      <c r="AF54" s="1049"/>
      <c r="AG54" s="1049"/>
      <c r="AH54" s="1049"/>
      <c r="AI54" s="1049"/>
      <c r="AJ54" s="1049"/>
      <c r="AK54" s="1049"/>
      <c r="AL54" s="1049"/>
      <c r="AM54" s="1049"/>
      <c r="AN54" s="1049"/>
      <c r="AO54" s="1071" t="str">
        <f>P2&amp;", g"</f>
        <v>NFC, g</v>
      </c>
      <c r="AP54" s="1100">
        <f t="shared" ref="AP54:AX54" si="92">(AP$4*$P$4*$E$4+AP$5*$P$5*$E$5+AP$6*$P$6*$E$6+AP$7*$P$7*$E$7+AP$8*$P$8*$E$8+AP$9*$P$9*$E$9+AP$10*$P$10*$E$10+AP$11*$P$11*$E$11+AP$12*$P$12*$E$12+AP$13*$P$13*$E$13+AP$14*$P$14*$E$14+AP$15*$P$15*$E$15+AP$16*$P$16*$E$16+AP$17*$P$17*$E$17+AP$18*$P$18*$E$18+AP$19*$P$19*$E$19+AP$20*$P$20*$E$20+AP$21*$P$21*$E$21+AP$22*$P$22*$E$22+AP$23*$P$23*$E$23+AP$24*$P$24*$E$24)/100</f>
        <v>0</v>
      </c>
      <c r="AQ54" s="1100">
        <f t="shared" si="92"/>
        <v>0</v>
      </c>
      <c r="AR54" s="1100">
        <f t="shared" si="92"/>
        <v>0</v>
      </c>
      <c r="AS54" s="1100">
        <f t="shared" si="92"/>
        <v>0</v>
      </c>
      <c r="AT54" s="1100">
        <f t="shared" si="92"/>
        <v>0</v>
      </c>
      <c r="AU54" s="1100">
        <f t="shared" si="92"/>
        <v>0</v>
      </c>
      <c r="AV54" s="1100">
        <f t="shared" si="92"/>
        <v>0</v>
      </c>
      <c r="AW54" s="1100">
        <f t="shared" si="92"/>
        <v>0</v>
      </c>
      <c r="AX54" s="1100">
        <f t="shared" si="92"/>
        <v>0</v>
      </c>
      <c r="AY54" s="1049"/>
      <c r="AZ54" s="1049"/>
      <c r="BA54" s="1049"/>
      <c r="BB54" s="1049"/>
      <c r="BC54" s="1049"/>
      <c r="BD54" s="1049"/>
      <c r="BE54" s="1049"/>
      <c r="BF54" s="1049"/>
      <c r="BG54" s="1049"/>
      <c r="BH54" s="1049"/>
      <c r="BI54" s="1049"/>
    </row>
    <row r="55" spans="1:61" ht="15.75" customHeight="1" x14ac:dyDescent="0.2">
      <c r="A55" s="1036"/>
      <c r="B55" s="1047"/>
      <c r="C55" s="1047"/>
      <c r="D55" s="1049"/>
      <c r="E55" s="1049"/>
      <c r="F55" s="1049"/>
      <c r="G55" s="1049"/>
      <c r="H55" s="1049"/>
      <c r="I55" s="1049"/>
      <c r="J55" s="1049"/>
      <c r="K55" s="1049"/>
      <c r="L55" s="1049"/>
      <c r="M55" s="1049"/>
      <c r="N55" s="1049"/>
      <c r="O55" s="1049"/>
      <c r="P55" s="1049"/>
      <c r="Q55" s="1049"/>
      <c r="R55" s="1049"/>
      <c r="S55" s="1049"/>
      <c r="T55" s="1049"/>
      <c r="U55" s="1049"/>
      <c r="V55" s="1049"/>
      <c r="W55" s="1049"/>
      <c r="X55" s="1049"/>
      <c r="Y55" s="1049"/>
      <c r="Z55" s="1049"/>
      <c r="AA55" s="1049"/>
      <c r="AB55" s="1049"/>
      <c r="AC55" s="1049"/>
      <c r="AD55" s="1049"/>
      <c r="AE55" s="1049"/>
      <c r="AF55" s="1049"/>
      <c r="AG55" s="1049"/>
      <c r="AH55" s="1049"/>
      <c r="AI55" s="1049"/>
      <c r="AJ55" s="1049"/>
      <c r="AK55" s="1049"/>
      <c r="AL55" s="1049"/>
      <c r="AM55" s="1049"/>
      <c r="AN55" s="1049"/>
      <c r="AO55" s="1071" t="str">
        <f>Q2&amp;", g"</f>
        <v>XS, g</v>
      </c>
      <c r="AP55" s="1100">
        <f t="shared" ref="AP55:AX55" si="93">(AP$4*$Q$4*$E$4+AP$5*$Q$5*$E$5+AP$6*$Q$6*$E$6+AP$7*$Q$7*$E$7+AP$8*$Q$8*$E$8+AP$9*$Q$9*$E$9+AP$10*$Q$10*$E$10+AP$11*$Q$11*$E$11+AP$12*$Q$12*$E$12+AP$13*$Q$13*$E$13+AP$14*$Q$14*$E$14+AP$15*$Q$15*$E$15+AP$16*$Q$16*$E$16+AP$17*$Q$17*$E$17+AP$18*$Q$18*$E$18+AP$19*$Q$19*$E$19+AP$20*$Q$20*$E$20+AP$21*$Q$21*$E$21+AP$22*$Q$22*$E$22+AP$23*$Q$23*$E$23+AP$24*$Q$24*$E$24)/100</f>
        <v>0</v>
      </c>
      <c r="AQ55" s="1100">
        <f t="shared" si="93"/>
        <v>0</v>
      </c>
      <c r="AR55" s="1100">
        <f t="shared" si="93"/>
        <v>0</v>
      </c>
      <c r="AS55" s="1100">
        <f t="shared" si="93"/>
        <v>0</v>
      </c>
      <c r="AT55" s="1100">
        <f t="shared" si="93"/>
        <v>0</v>
      </c>
      <c r="AU55" s="1100">
        <f t="shared" si="93"/>
        <v>0</v>
      </c>
      <c r="AV55" s="1100">
        <f t="shared" si="93"/>
        <v>0</v>
      </c>
      <c r="AW55" s="1100">
        <f t="shared" si="93"/>
        <v>0</v>
      </c>
      <c r="AX55" s="1100">
        <f t="shared" si="93"/>
        <v>0</v>
      </c>
      <c r="AY55" s="1049"/>
      <c r="AZ55" s="1049"/>
      <c r="BA55" s="1049"/>
      <c r="BB55" s="1049"/>
      <c r="BC55" s="1049"/>
      <c r="BD55" s="1049"/>
      <c r="BE55" s="1049"/>
      <c r="BF55" s="1049"/>
      <c r="BG55" s="1049"/>
      <c r="BH55" s="1049"/>
      <c r="BI55" s="1049"/>
    </row>
    <row r="56" spans="1:61" ht="15.75" customHeight="1" x14ac:dyDescent="0.2">
      <c r="A56" s="1036"/>
      <c r="B56" s="1047"/>
      <c r="C56" s="1047"/>
      <c r="D56" s="1049"/>
      <c r="E56" s="1049"/>
      <c r="F56" s="1049"/>
      <c r="G56" s="1049"/>
      <c r="H56" s="1049"/>
      <c r="I56" s="1049"/>
      <c r="J56" s="1049"/>
      <c r="K56" s="1049"/>
      <c r="L56" s="1049"/>
      <c r="M56" s="1049"/>
      <c r="N56" s="1049"/>
      <c r="O56" s="1049"/>
      <c r="P56" s="1049"/>
      <c r="Q56" s="1049"/>
      <c r="R56" s="1049"/>
      <c r="S56" s="1049"/>
      <c r="T56" s="1049"/>
      <c r="U56" s="1049"/>
      <c r="V56" s="1049"/>
      <c r="W56" s="1049"/>
      <c r="X56" s="1049"/>
      <c r="Y56" s="1049"/>
      <c r="Z56" s="1049"/>
      <c r="AA56" s="1049"/>
      <c r="AB56" s="1049"/>
      <c r="AC56" s="1049"/>
      <c r="AD56" s="1049"/>
      <c r="AE56" s="1049"/>
      <c r="AF56" s="1049"/>
      <c r="AG56" s="1049"/>
      <c r="AH56" s="1049"/>
      <c r="AI56" s="1049"/>
      <c r="AJ56" s="1049"/>
      <c r="AK56" s="1049"/>
      <c r="AL56" s="1049"/>
      <c r="AM56" s="1049"/>
      <c r="AN56" s="1049"/>
      <c r="AO56" s="1071" t="str">
        <f>R2&amp;", %"</f>
        <v>bXS, %</v>
      </c>
      <c r="AP56" s="1101" t="str">
        <f t="shared" ref="AP56:AX56" si="94">IF(AP46=0,"",(AP$4*$R$4*$E$4*$Q$4+AP$5*$R$5*$E$5*$Q$5+AP$6*$R$6*$E$6*$Q$6+AP$7*$R$7*$E$7*$Q$7+AP$8*$R$8*$E$8*$Q$8+AP$9*$R$9*$E$9*$Q$9+AP$10*$R$10*$E$10*$Q$10+AP$11*$R$11*$E$11*$Q$11+AP$12*$R$12*$E$12*$Q$12+AP$13*$R$13*$E$13*$Q$13+AP$14*$R$14*$E$14*$Q$14+AP$15*$R$15*$E$15*$Q$15+AP$16*$R$16*$E$16*$Q$16+AP$17*$R$17*$E$17*$Q$17+AP$18*$R$18*$E$18*$Q$18+AP$19*$R$19*$E$19*$Q$19+AP$20*$R$20*$E$20*$Q$20+AP$21*$R$21*$E$21*$Q$21+AP$22*$R$22*$E$22*$Q$22+AP$23*$R$23*$E$23*$Q$23+AP$24*$R$24*$E$24*$Q$24)/AP$55*0.01)</f>
        <v/>
      </c>
      <c r="AQ56" s="1101" t="str">
        <f t="shared" si="94"/>
        <v/>
      </c>
      <c r="AR56" s="1101" t="str">
        <f t="shared" si="94"/>
        <v/>
      </c>
      <c r="AS56" s="1101" t="str">
        <f t="shared" si="94"/>
        <v/>
      </c>
      <c r="AT56" s="1101" t="str">
        <f t="shared" si="94"/>
        <v/>
      </c>
      <c r="AU56" s="1101" t="str">
        <f t="shared" si="94"/>
        <v/>
      </c>
      <c r="AV56" s="1101" t="str">
        <f t="shared" si="94"/>
        <v/>
      </c>
      <c r="AW56" s="1101" t="str">
        <f t="shared" si="94"/>
        <v/>
      </c>
      <c r="AX56" s="1101" t="str">
        <f t="shared" si="94"/>
        <v/>
      </c>
      <c r="AY56" s="1049"/>
      <c r="AZ56" s="1049"/>
      <c r="BA56" s="1049"/>
      <c r="BB56" s="1049"/>
      <c r="BC56" s="1049"/>
      <c r="BD56" s="1049"/>
      <c r="BE56" s="1049"/>
      <c r="BF56" s="1049"/>
      <c r="BG56" s="1049"/>
      <c r="BH56" s="1049"/>
      <c r="BI56" s="1049"/>
    </row>
    <row r="57" spans="1:61" ht="15.75" customHeight="1" x14ac:dyDescent="0.2">
      <c r="A57" s="1036"/>
      <c r="B57" s="1047"/>
      <c r="C57" s="1047"/>
      <c r="D57" s="1049"/>
      <c r="E57" s="1049"/>
      <c r="F57" s="1049"/>
      <c r="G57" s="1049"/>
      <c r="H57" s="1049"/>
      <c r="I57" s="1049"/>
      <c r="J57" s="1049"/>
      <c r="K57" s="1049"/>
      <c r="L57" s="1049"/>
      <c r="M57" s="1049"/>
      <c r="N57" s="1049"/>
      <c r="O57" s="1049"/>
      <c r="P57" s="1049"/>
      <c r="Q57" s="1049"/>
      <c r="R57" s="1049"/>
      <c r="S57" s="1049"/>
      <c r="T57" s="1049"/>
      <c r="U57" s="1049"/>
      <c r="V57" s="1049"/>
      <c r="W57" s="1049"/>
      <c r="X57" s="1049"/>
      <c r="Y57" s="1049"/>
      <c r="Z57" s="1049"/>
      <c r="AA57" s="1049"/>
      <c r="AB57" s="1049"/>
      <c r="AC57" s="1049"/>
      <c r="AD57" s="1049"/>
      <c r="AE57" s="1049"/>
      <c r="AF57" s="1049"/>
      <c r="AG57" s="1049"/>
      <c r="AH57" s="1049"/>
      <c r="AI57" s="1049"/>
      <c r="AJ57" s="1049"/>
      <c r="AK57" s="1049"/>
      <c r="AL57" s="1049"/>
      <c r="AM57" s="1049"/>
      <c r="AN57" s="1049"/>
      <c r="AO57" s="1071" t="str">
        <f>S2&amp;", g"</f>
        <v>XZ, g</v>
      </c>
      <c r="AP57" s="1100">
        <f>(AP$4*$S$4*$E$4+AP$5*$S$5*$E$5+AP$6*$S$6*$E$6+AP$7*$S$7*$E$7+AP$8*$S$8*$E$8+AP$9*$S$9*$E$9+AP$10*$S$10*$E$10+AP$11*$S$11*$E$11+AP$12*$S$12*$E$12+AP$13*$S$13*$E$13+AP$14*$S$14*$E$14+AP$15*$S$15*$E$15+AP$16*$S$16*$E$16+AP$17*$S$17*$E$17+AP$18*$S$18*$E$18+AP$19*$S$19*$E$19+AP$20*$S$20*$E$20+AP$21*$S$21*$E$21+AP$22*$S$22*$E$22+AP$23*$S$23*$E$23+AP$24*$S$24*$E$24)/100</f>
        <v>0</v>
      </c>
      <c r="AQ57" s="1100">
        <f>(AQ$4*$S$4*$E$4+AQ$5*$S$5*$E$5+AQ$6*$S$6*$E$6+AQ$7*$S$7*$E$7+AQ$8*$S$8*$E$8+AQ$9*$S$9*$E$9+AQ$10*$S$10*$E$10+AQ$11*$S$11*$E$11+AQ$12*$S$12*$E$12+AQ$13*$S$13*$E$13+AQ$14*$S$14*$E$14+AQ$15*$S$15*$E$15+AQ$16*$S$16*$E$16+AQ$17*$S$17*$E$17+AQ$18*$S$18*$E$18+AQ$19*$S$19*$E$19+AQ$20*$S$20*$E$20+AQ$21*$S$21*$E$21+AQ$22*$S$22*$E$22+AQ$23*$S$23*$E$23+AQ$24*$S$24*$E$24)/100</f>
        <v>0</v>
      </c>
      <c r="AR57" s="1100">
        <f t="shared" ref="AR57:AX57" si="95">(AR$4*$S$4*$E$4+AR$5*$S$5*$E$5+AR$6*$S$6*$E$6+AR$7*$S$7*$E$7+AR$8*$S$8*$E$8+AR$9*$S$9*$E$9+AR$10*$S$10*$E$10+AR$11*$S$11*$E$11+AR$12*$S$12*$E$12+AR$13*$S$13*$E$13+AR$14*$S$14*$E$14+AR$15*$S$15*$E$15+AR$16*$S$16*$E$16+AR$17*$S$17*$E$17+AR$18*$S$18*$E$18+AR$19*$S$19*$E$19+AR$20*$S$20*$E$20+AR$21*$S$21*$E$21+AR$22*$S$22*$E$22+AR$23*$S$23*$E$23+AR$24*$S$24*$E$24)/100</f>
        <v>0</v>
      </c>
      <c r="AS57" s="1100">
        <f t="shared" si="95"/>
        <v>0</v>
      </c>
      <c r="AT57" s="1100">
        <f t="shared" si="95"/>
        <v>0</v>
      </c>
      <c r="AU57" s="1100">
        <f t="shared" si="95"/>
        <v>0</v>
      </c>
      <c r="AV57" s="1100">
        <f t="shared" si="95"/>
        <v>0</v>
      </c>
      <c r="AW57" s="1100">
        <f t="shared" si="95"/>
        <v>0</v>
      </c>
      <c r="AX57" s="1100">
        <f t="shared" si="95"/>
        <v>0</v>
      </c>
      <c r="AY57" s="1049"/>
      <c r="AZ57" s="1049"/>
      <c r="BA57" s="1049"/>
      <c r="BB57" s="1049"/>
      <c r="BC57" s="1049"/>
      <c r="BD57" s="1049"/>
      <c r="BE57" s="1049"/>
      <c r="BF57" s="1049"/>
      <c r="BG57" s="1049"/>
      <c r="BH57" s="1049"/>
      <c r="BI57" s="1049"/>
    </row>
    <row r="58" spans="1:61" ht="15.75" customHeight="1" x14ac:dyDescent="0.2">
      <c r="A58" s="1036"/>
      <c r="B58" s="1047"/>
      <c r="C58" s="1047"/>
      <c r="D58" s="1049"/>
      <c r="E58" s="1049"/>
      <c r="F58" s="1049"/>
      <c r="G58" s="1049"/>
      <c r="H58" s="1049"/>
      <c r="I58" s="1049"/>
      <c r="J58" s="1049"/>
      <c r="K58" s="1049"/>
      <c r="L58" s="1049"/>
      <c r="M58" s="1049"/>
      <c r="N58" s="1049"/>
      <c r="O58" s="1049"/>
      <c r="P58" s="1049"/>
      <c r="Q58" s="1049"/>
      <c r="R58" s="1049"/>
      <c r="S58" s="1049"/>
      <c r="T58" s="1049"/>
      <c r="U58" s="1049"/>
      <c r="V58" s="1049"/>
      <c r="W58" s="1049"/>
      <c r="X58" s="1049"/>
      <c r="Y58" s="1049"/>
      <c r="Z58" s="1049"/>
      <c r="AA58" s="1049"/>
      <c r="AB58" s="1049"/>
      <c r="AC58" s="1049"/>
      <c r="AD58" s="1049"/>
      <c r="AE58" s="1049"/>
      <c r="AF58" s="1049"/>
      <c r="AG58" s="1049"/>
      <c r="AH58" s="1049"/>
      <c r="AI58" s="1049"/>
      <c r="AJ58" s="1049"/>
      <c r="AK58" s="1049"/>
      <c r="AL58" s="1049"/>
      <c r="AM58" s="1049"/>
      <c r="AN58" s="1049"/>
      <c r="AO58" s="1071" t="str">
        <f>T2&amp;", g"</f>
        <v>XS+XZ-bXS, g</v>
      </c>
      <c r="AP58" s="1100">
        <f>(AP$4*$T$4*$E$4+AP$5*$T$5*$E$5+AP$6*$T$6*$E$6+AP$7*$T$7*$E$7+AP$8*$T$8*$E$8+AP$9*$T$9*$E$9+AP$10*$T$10*$E$10+AP$11*$T$11*$E$11+AP$12*$T$12*$E$12+AP$13*$T$13*$E$13+AP$14*$T$14*$E$14+AP$15*$T$15*$E$15+AP$16*$T$16*$E$16+AP$17*$T$17*$E$17+AP$18*$T$18*$E$18+AP$19*$T$19*$E$19+AP$20*$T$20*$E$20+AP$21*$T$21*$E$21+AP$22*$T$22*$E$22+AP$23*$T$23*$E$23+AP$24*$T$24*$E$24)/100</f>
        <v>0</v>
      </c>
      <c r="AQ58" s="1100">
        <f>(AQ$4*$T$4*$E$4+AQ$5*$T$5*$E$5+AQ$6*$T$6*$E$6+AQ$7*$T$7*$E$7+AQ$8*$T$8*$E$8+AQ$9*$T$9*$E$9+AQ$10*$T$10*$E$10+AQ$11*$T$11*$E$11+AQ$12*$T$12*$E$12+AQ$13*$T$13*$E$13+AQ$14*$T$14*$E$14+AQ$15*$T$15*$E$15+AQ$16*$T$16*$E$16+AQ$17*$T$17*$E$17+AQ$18*$T$18*$E$18+AQ$19*$T$19*$E$19+AQ$20*$T$20*$E$20+AQ$21*$T$21*$E$21+AQ$22*$T$22*$E$22+AQ$23*$T$23*$E$23+AQ$24*$T$24*$E$24)/100</f>
        <v>0</v>
      </c>
      <c r="AR58" s="1100">
        <f>(AR$4*$T$4*$E$4+AR$5*$T$5*$E$5+AR$6*$T$6*$E$6+AR$7*$T$7*$E$7+AR$8*$T$8*$E$8+AR$9*$T$9*$E$9+AR$10*$T$10*$E$10+AR$11*$T$11*$E$11+AR$12*$T$12*$E$12+AR$13*$T$13*$E$13+AR$14*$T$14*$E$14+AR$15*$T$15*$E$15+AR$16*$T$16*$E$16+AR$17*$T$17*$E$17+AR$18*$T$18*$E$18+AR$19*$T$19*$E$19+AR$20*$T$20*$E$20+AR$21*$T$21*$E$21+AR$22*$T$22*$E$22+AR$23*$T$23*$E$23+AR$24*$T$24*$E$24)/100</f>
        <v>0</v>
      </c>
      <c r="AS58" s="1100">
        <f t="shared" ref="AS58:AX58" si="96">(AS$4*$T$4*$E$4+AS$5*$T$5*$E$5+AS$6*$T$6*$E$6+AS$7*$T$7*$E$7+AS$8*$T$8*$E$8+AS$9*$T$9*$E$9+AS$10*$T$10*$E$10+AS$11*$T$11*$E$11+AS$12*$T$12*$E$12+AS$13*$T$13*$E$13+AS$14*$T$14*$E$14+AS$15*$T$15*$E$15+AS$16*$T$16*$E$16+AS$17*$T$17*$E$17+AS$18*$T$18*$E$18+AS$19*$T$19*$E$19+AS$20*$T$20*$E$20+AS$21*$T$21*$E$21+AS$22*$T$22*$E$22+AS$23*$T$23*$E$23+AS$24*$T$24*$E$24)/100</f>
        <v>0</v>
      </c>
      <c r="AT58" s="1100">
        <f t="shared" si="96"/>
        <v>0</v>
      </c>
      <c r="AU58" s="1100">
        <f t="shared" si="96"/>
        <v>0</v>
      </c>
      <c r="AV58" s="1100">
        <f t="shared" si="96"/>
        <v>0</v>
      </c>
      <c r="AW58" s="1100">
        <f t="shared" si="96"/>
        <v>0</v>
      </c>
      <c r="AX58" s="1100">
        <f t="shared" si="96"/>
        <v>0</v>
      </c>
      <c r="AY58" s="1049"/>
      <c r="AZ58" s="1049"/>
      <c r="BA58" s="1049"/>
      <c r="BB58" s="1049"/>
      <c r="BC58" s="1049"/>
      <c r="BD58" s="1049"/>
      <c r="BE58" s="1049"/>
      <c r="BF58" s="1049"/>
      <c r="BG58" s="1049"/>
      <c r="BH58" s="1049"/>
      <c r="BI58" s="1049"/>
    </row>
    <row r="59" spans="1:61" ht="15.75" customHeight="1" x14ac:dyDescent="0.2">
      <c r="A59" s="1036"/>
      <c r="B59" s="1047"/>
      <c r="C59" s="1047"/>
      <c r="D59" s="1049"/>
      <c r="E59" s="1049"/>
      <c r="F59" s="1049"/>
      <c r="G59" s="1049"/>
      <c r="H59" s="1049"/>
      <c r="I59" s="1049"/>
      <c r="J59" s="1049"/>
      <c r="K59" s="1049"/>
      <c r="L59" s="1049"/>
      <c r="M59" s="1049"/>
      <c r="N59" s="1049"/>
      <c r="O59" s="1049"/>
      <c r="P59" s="1049"/>
      <c r="Q59" s="1049"/>
      <c r="R59" s="1049"/>
      <c r="S59" s="1049"/>
      <c r="T59" s="1049"/>
      <c r="U59" s="1049"/>
      <c r="V59" s="1049"/>
      <c r="W59" s="1049"/>
      <c r="X59" s="1049"/>
      <c r="Y59" s="1049"/>
      <c r="Z59" s="1049"/>
      <c r="AA59" s="1049"/>
      <c r="AB59" s="1049"/>
      <c r="AC59" s="1049"/>
      <c r="AD59" s="1049"/>
      <c r="AE59" s="1049"/>
      <c r="AF59" s="1049"/>
      <c r="AG59" s="1049"/>
      <c r="AH59" s="1049"/>
      <c r="AI59" s="1049"/>
      <c r="AJ59" s="1049"/>
      <c r="AK59" s="1049"/>
      <c r="AL59" s="1049"/>
      <c r="AM59" s="1049"/>
      <c r="AN59" s="1049"/>
      <c r="AO59" s="1071" t="str">
        <f>T2&amp;", g/kg TM"</f>
        <v>XS+XZ-bXS, g/kg TM</v>
      </c>
      <c r="AP59" s="1100">
        <f>IF(AP26=0,0,AP58/AP26)</f>
        <v>0</v>
      </c>
      <c r="AQ59" s="1100">
        <f t="shared" ref="AQ59:AX59" si="97">IF(AQ26=0,0,AQ58/AQ26)</f>
        <v>0</v>
      </c>
      <c r="AR59" s="1100">
        <f t="shared" si="97"/>
        <v>0</v>
      </c>
      <c r="AS59" s="1100">
        <f t="shared" si="97"/>
        <v>0</v>
      </c>
      <c r="AT59" s="1100">
        <f t="shared" si="97"/>
        <v>0</v>
      </c>
      <c r="AU59" s="1100">
        <f t="shared" si="97"/>
        <v>0</v>
      </c>
      <c r="AV59" s="1100">
        <f t="shared" si="97"/>
        <v>0</v>
      </c>
      <c r="AW59" s="1100">
        <f t="shared" si="97"/>
        <v>0</v>
      </c>
      <c r="AX59" s="1100">
        <f t="shared" si="97"/>
        <v>0</v>
      </c>
      <c r="AY59" s="1049"/>
      <c r="AZ59" s="1049"/>
      <c r="BA59" s="1049"/>
      <c r="BB59" s="1049"/>
      <c r="BC59" s="1049"/>
      <c r="BD59" s="1049"/>
      <c r="BE59" s="1049"/>
      <c r="BF59" s="1049"/>
      <c r="BG59" s="1049"/>
      <c r="BH59" s="1049"/>
      <c r="BI59" s="1049"/>
    </row>
    <row r="60" spans="1:61" ht="15.75" hidden="1" customHeight="1" x14ac:dyDescent="0.2">
      <c r="A60" s="1036"/>
      <c r="B60" s="1047"/>
      <c r="C60" s="1047"/>
      <c r="D60" s="1049"/>
      <c r="E60" s="1049"/>
      <c r="F60" s="1049"/>
      <c r="G60" s="1049"/>
      <c r="H60" s="1049"/>
      <c r="I60" s="1049"/>
      <c r="J60" s="1049"/>
      <c r="K60" s="1049"/>
      <c r="L60" s="1049"/>
      <c r="M60" s="1049"/>
      <c r="N60" s="1049"/>
      <c r="O60" s="1049"/>
      <c r="P60" s="1049"/>
      <c r="Q60" s="1049"/>
      <c r="R60" s="1049"/>
      <c r="S60" s="1049"/>
      <c r="T60" s="1049"/>
      <c r="U60" s="1049"/>
      <c r="V60" s="1049"/>
      <c r="W60" s="1049"/>
      <c r="X60" s="1049"/>
      <c r="Y60" s="1049"/>
      <c r="Z60" s="1049"/>
      <c r="AA60" s="1049"/>
      <c r="AB60" s="1049"/>
      <c r="AC60" s="1049"/>
      <c r="AD60" s="1049"/>
      <c r="AE60" s="1049"/>
      <c r="AF60" s="1049"/>
      <c r="AG60" s="1049"/>
      <c r="AH60" s="1049"/>
      <c r="AI60" s="1049"/>
      <c r="AJ60" s="1049"/>
      <c r="AK60" s="1049"/>
      <c r="AL60" s="1049"/>
      <c r="AM60" s="1049"/>
      <c r="AN60" s="1049"/>
      <c r="AO60" s="1071" t="str">
        <f>U2&amp;", g"</f>
        <v>XL, g</v>
      </c>
      <c r="AP60" s="1100">
        <f t="shared" ref="AP60:AX60" si="98">(AP$4*$U$4*$E$4+AP$5*$U$5*$E$5+AP$6*$U$6*$E$6+AP$7*$U$7*$E$7+AP$8*$U$8*$E$8+AP$9*$U$9*$E$9+AP$10*$U$10*$E$10+AP$11*$U$11*$E$11+AP$12*$U$12*$E$12+AP$13*$U$13*$E$13+AP$14*$U$14*$E$14+AP$15*$U$15*$E$15+AP$16*$U$16*$E$16+AP$17*$U$17*$E$17+AP$18*$U$18*$E$18+AP$19*$U$19*$E$19+AP$20*$U$20*$E$20+AP$21*$U$21*$E$21+AP$22*$U$22*$E$22+AP$23*$U$23*$E$23+AP$24*$U$24*$E$24)/100</f>
        <v>0</v>
      </c>
      <c r="AQ60" s="1100">
        <f t="shared" si="98"/>
        <v>0</v>
      </c>
      <c r="AR60" s="1100">
        <f t="shared" si="98"/>
        <v>0</v>
      </c>
      <c r="AS60" s="1100">
        <f t="shared" si="98"/>
        <v>0</v>
      </c>
      <c r="AT60" s="1100">
        <f t="shared" si="98"/>
        <v>0</v>
      </c>
      <c r="AU60" s="1100">
        <f t="shared" si="98"/>
        <v>0</v>
      </c>
      <c r="AV60" s="1100">
        <f t="shared" si="98"/>
        <v>0</v>
      </c>
      <c r="AW60" s="1100">
        <f t="shared" si="98"/>
        <v>0</v>
      </c>
      <c r="AX60" s="1100">
        <f t="shared" si="98"/>
        <v>0</v>
      </c>
      <c r="AY60" s="1049"/>
      <c r="AZ60" s="1049"/>
      <c r="BA60" s="1049"/>
      <c r="BB60" s="1049"/>
      <c r="BC60" s="1049"/>
      <c r="BD60" s="1049"/>
      <c r="BE60" s="1049"/>
      <c r="BF60" s="1049"/>
      <c r="BG60" s="1049"/>
      <c r="BH60" s="1049"/>
      <c r="BI60" s="1049"/>
    </row>
    <row r="61" spans="1:61" ht="15.75" customHeight="1" x14ac:dyDescent="0.2">
      <c r="A61" s="1036"/>
      <c r="B61" s="1047"/>
      <c r="C61" s="1047"/>
      <c r="D61" s="1049"/>
      <c r="E61" s="1049"/>
      <c r="F61" s="1049"/>
      <c r="G61" s="1049"/>
      <c r="H61" s="1049"/>
      <c r="I61" s="1049"/>
      <c r="J61" s="1049"/>
      <c r="K61" s="1049"/>
      <c r="L61" s="1049"/>
      <c r="M61" s="1049"/>
      <c r="N61" s="1049"/>
      <c r="O61" s="1049"/>
      <c r="P61" s="1049"/>
      <c r="Q61" s="1049"/>
      <c r="R61" s="1049"/>
      <c r="S61" s="1049"/>
      <c r="T61" s="1049"/>
      <c r="U61" s="1049"/>
      <c r="V61" s="1049"/>
      <c r="W61" s="1049"/>
      <c r="X61" s="1049"/>
      <c r="Y61" s="1049"/>
      <c r="Z61" s="1049"/>
      <c r="AA61" s="1049"/>
      <c r="AB61" s="1049"/>
      <c r="AC61" s="1049"/>
      <c r="AD61" s="1049"/>
      <c r="AE61" s="1049"/>
      <c r="AF61" s="1049"/>
      <c r="AG61" s="1049"/>
      <c r="AH61" s="1049"/>
      <c r="AI61" s="1049"/>
      <c r="AJ61" s="1049"/>
      <c r="AK61" s="1049"/>
      <c r="AL61" s="1049"/>
      <c r="AM61" s="1049"/>
      <c r="AN61" s="1049"/>
      <c r="AO61" s="1071" t="str">
        <f>U2&amp;", g/kg TM "</f>
        <v xml:space="preserve">XL, g/kg TM </v>
      </c>
      <c r="AP61" s="1100">
        <f t="shared" ref="AP61:AX61" si="99">AZ$29</f>
        <v>0</v>
      </c>
      <c r="AQ61" s="1100">
        <f t="shared" si="99"/>
        <v>0</v>
      </c>
      <c r="AR61" s="1100">
        <f t="shared" si="99"/>
        <v>0</v>
      </c>
      <c r="AS61" s="1100">
        <f t="shared" si="99"/>
        <v>0</v>
      </c>
      <c r="AT61" s="1100">
        <f t="shared" si="99"/>
        <v>0</v>
      </c>
      <c r="AU61" s="1100">
        <f t="shared" si="99"/>
        <v>0</v>
      </c>
      <c r="AV61" s="1100">
        <f t="shared" si="99"/>
        <v>0</v>
      </c>
      <c r="AW61" s="1100">
        <f t="shared" si="99"/>
        <v>0</v>
      </c>
      <c r="AX61" s="1100">
        <f t="shared" si="99"/>
        <v>0</v>
      </c>
      <c r="AY61" s="1049"/>
      <c r="AZ61" s="1049"/>
      <c r="BA61" s="1049"/>
      <c r="BB61" s="1049"/>
      <c r="BC61" s="1049"/>
      <c r="BD61" s="1049"/>
      <c r="BE61" s="1049"/>
      <c r="BF61" s="1049"/>
      <c r="BG61" s="1049"/>
      <c r="BH61" s="1049"/>
      <c r="BI61" s="1049"/>
    </row>
    <row r="62" spans="1:61" ht="15.75" customHeight="1" x14ac:dyDescent="0.2">
      <c r="A62" s="1036"/>
      <c r="B62" s="1047"/>
      <c r="C62" s="1047"/>
      <c r="D62" s="1049"/>
      <c r="E62" s="1049"/>
      <c r="F62" s="1049"/>
      <c r="G62" s="1049"/>
      <c r="H62" s="1049"/>
      <c r="I62" s="1049"/>
      <c r="J62" s="1049"/>
      <c r="K62" s="1049"/>
      <c r="L62" s="1049"/>
      <c r="M62" s="1049"/>
      <c r="N62" s="1049"/>
      <c r="O62" s="1049"/>
      <c r="P62" s="1049"/>
      <c r="Q62" s="1049"/>
      <c r="R62" s="1049"/>
      <c r="S62" s="1049"/>
      <c r="T62" s="1049"/>
      <c r="U62" s="1049"/>
      <c r="V62" s="1049"/>
      <c r="W62" s="1049"/>
      <c r="X62" s="1049"/>
      <c r="Y62" s="1049"/>
      <c r="Z62" s="1049"/>
      <c r="AA62" s="1049"/>
      <c r="AB62" s="1049"/>
      <c r="AC62" s="1049"/>
      <c r="AD62" s="1049"/>
      <c r="AE62" s="1049"/>
      <c r="AF62" s="1049"/>
      <c r="AG62" s="1049"/>
      <c r="AH62" s="1049"/>
      <c r="AI62" s="1049"/>
      <c r="AJ62" s="1049"/>
      <c r="AK62" s="1049"/>
      <c r="AL62" s="1049"/>
      <c r="AM62" s="1049"/>
      <c r="AN62" s="1049"/>
      <c r="AO62" s="1071" t="str">
        <f>V2&amp;", g/kg TM "</f>
        <v xml:space="preserve">XA, g/kg TM </v>
      </c>
      <c r="AP62" s="1100">
        <f>IF(AP26=0,0,AP63/AP26)</f>
        <v>0</v>
      </c>
      <c r="AQ62" s="1100">
        <f t="shared" ref="AQ62:AX62" si="100">IF(AQ26=0,0,AQ63/AQ26)</f>
        <v>0</v>
      </c>
      <c r="AR62" s="1100">
        <f t="shared" si="100"/>
        <v>0</v>
      </c>
      <c r="AS62" s="1100">
        <f t="shared" si="100"/>
        <v>0</v>
      </c>
      <c r="AT62" s="1100">
        <f t="shared" si="100"/>
        <v>0</v>
      </c>
      <c r="AU62" s="1100">
        <f t="shared" si="100"/>
        <v>0</v>
      </c>
      <c r="AV62" s="1100">
        <f t="shared" si="100"/>
        <v>0</v>
      </c>
      <c r="AW62" s="1100">
        <f t="shared" si="100"/>
        <v>0</v>
      </c>
      <c r="AX62" s="1100">
        <f t="shared" si="100"/>
        <v>0</v>
      </c>
      <c r="AY62" s="1049"/>
      <c r="AZ62" s="1049"/>
      <c r="BA62" s="1049"/>
      <c r="BB62" s="1049"/>
      <c r="BC62" s="1049"/>
      <c r="BD62" s="1049"/>
      <c r="BE62" s="1049"/>
      <c r="BF62" s="1049"/>
      <c r="BG62" s="1049"/>
      <c r="BH62" s="1049"/>
      <c r="BI62" s="1049"/>
    </row>
    <row r="63" spans="1:61" ht="15.75" customHeight="1" x14ac:dyDescent="0.2">
      <c r="A63" s="1036"/>
      <c r="B63" s="1047"/>
      <c r="C63" s="1047"/>
      <c r="D63" s="1049"/>
      <c r="E63" s="1049"/>
      <c r="F63" s="1049"/>
      <c r="G63" s="1049"/>
      <c r="H63" s="1049"/>
      <c r="I63" s="1049"/>
      <c r="J63" s="1049"/>
      <c r="K63" s="1049"/>
      <c r="L63" s="1049"/>
      <c r="M63" s="1049"/>
      <c r="N63" s="1049"/>
      <c r="O63" s="1049"/>
      <c r="P63" s="1049"/>
      <c r="Q63" s="1049"/>
      <c r="R63" s="1049"/>
      <c r="S63" s="1049"/>
      <c r="T63" s="1049"/>
      <c r="U63" s="1049"/>
      <c r="V63" s="1049"/>
      <c r="W63" s="1049"/>
      <c r="X63" s="1049"/>
      <c r="Y63" s="1049"/>
      <c r="Z63" s="1049"/>
      <c r="AA63" s="1049"/>
      <c r="AB63" s="1049"/>
      <c r="AC63" s="1049"/>
      <c r="AD63" s="1049"/>
      <c r="AE63" s="1049"/>
      <c r="AF63" s="1049"/>
      <c r="AG63" s="1049"/>
      <c r="AH63" s="1049"/>
      <c r="AI63" s="1049"/>
      <c r="AJ63" s="1049"/>
      <c r="AK63" s="1049"/>
      <c r="AL63" s="1049"/>
      <c r="AM63" s="1049"/>
      <c r="AN63" s="1049"/>
      <c r="AO63" s="1071" t="str">
        <f>V2&amp;", g"</f>
        <v>XA, g</v>
      </c>
      <c r="AP63" s="1100">
        <f t="shared" ref="AP63:AX63" si="101">(AP$4*$V$4*$E$4+AP$5*$V$5*$E$5+AP$6*$V$6*$E$6+AP$7*$V$7*$E$7+AP$8*$V$8*$E$8+AP$9*$V$9*$E$9+AP$10*$V$10*$E$10+AP$11*$V$11*$E$11+AP$12*$V$12*$E$12+AP$13*$V$13*$E$13+AP$14*$V$14*$E$14+AP$15*$V$15*$E$15+AP$16*$V$16*$E$16+AP$17*$V$17*$E$17+AP$18*$V$18*$E$18+AP$19*$V$19*$E$19+AP$20*$V$20*$E$20+AP$21*$V$21*$E$21+AP$22*$V$22*$E$22+AP$23*$V$23*$E$23+AP$24*$V$24*$E$24)/100</f>
        <v>0</v>
      </c>
      <c r="AQ63" s="1100">
        <f t="shared" si="101"/>
        <v>0</v>
      </c>
      <c r="AR63" s="1100">
        <f t="shared" si="101"/>
        <v>0</v>
      </c>
      <c r="AS63" s="1100">
        <f t="shared" si="101"/>
        <v>0</v>
      </c>
      <c r="AT63" s="1100">
        <f t="shared" si="101"/>
        <v>0</v>
      </c>
      <c r="AU63" s="1100">
        <f t="shared" si="101"/>
        <v>0</v>
      </c>
      <c r="AV63" s="1100">
        <f t="shared" si="101"/>
        <v>0</v>
      </c>
      <c r="AW63" s="1100">
        <f t="shared" si="101"/>
        <v>0</v>
      </c>
      <c r="AX63" s="1100">
        <f t="shared" si="101"/>
        <v>0</v>
      </c>
      <c r="AY63" s="1049"/>
      <c r="AZ63" s="1049"/>
      <c r="BA63" s="1049"/>
      <c r="BB63" s="1049"/>
      <c r="BC63" s="1049"/>
      <c r="BD63" s="1049"/>
      <c r="BE63" s="1049"/>
      <c r="BF63" s="1049"/>
      <c r="BG63" s="1049"/>
      <c r="BH63" s="1049"/>
      <c r="BI63" s="1049"/>
    </row>
    <row r="64" spans="1:61" ht="15.75" customHeight="1" x14ac:dyDescent="0.2">
      <c r="A64" s="1036"/>
      <c r="B64" s="1047"/>
      <c r="C64" s="1047"/>
      <c r="D64" s="1049"/>
      <c r="E64" s="1049"/>
      <c r="F64" s="1049"/>
      <c r="G64" s="1049"/>
      <c r="H64" s="1049"/>
      <c r="I64" s="1049"/>
      <c r="J64" s="1049"/>
      <c r="K64" s="1049"/>
      <c r="L64" s="1049"/>
      <c r="M64" s="1049"/>
      <c r="N64" s="1049"/>
      <c r="O64" s="1049"/>
      <c r="P64" s="1049"/>
      <c r="Q64" s="1049"/>
      <c r="R64" s="1049"/>
      <c r="S64" s="1049"/>
      <c r="T64" s="1049"/>
      <c r="U64" s="1049"/>
      <c r="V64" s="1049"/>
      <c r="W64" s="1049"/>
      <c r="X64" s="1049"/>
      <c r="Y64" s="1049"/>
      <c r="Z64" s="1049"/>
      <c r="AA64" s="1049"/>
      <c r="AB64" s="1049"/>
      <c r="AC64" s="1049"/>
      <c r="AD64" s="1049"/>
      <c r="AE64" s="1049"/>
      <c r="AF64" s="1049"/>
      <c r="AG64" s="1049"/>
      <c r="AH64" s="1049"/>
      <c r="AI64" s="1049"/>
      <c r="AJ64" s="1049"/>
      <c r="AK64" s="1049"/>
      <c r="AL64" s="1049"/>
      <c r="AM64" s="1049"/>
      <c r="AN64" s="1049"/>
      <c r="AO64" s="1071" t="str">
        <f>W2&amp;", g"</f>
        <v>Ca, g</v>
      </c>
      <c r="AP64" s="1100">
        <f t="shared" ref="AP64:AX64" si="102">(AP$4*$W$4*$E$4+AP$5*$W$5*$E$5+AP$6*$W$6*$E$6+AP$7*$W$7*$E$7+AP$8*$W$8*$E$8+AP$9*$W$9*$E$9+AP$10*$W$10*$E$10+AP$11*$W$11*$E$11+AP$12*$W$12*$E$12+AP$13*$W$13*$E$13+AP$14*$W$14*$E$14+AP$15*$W$15*$E$15+AP$16*$W$16*$E$16+AP$17*$W$17*$E$17+AP$18*$W$18*$E$18+AP$19*$W$19*$E$19+AP$20*$W$20*$E$20+AP$21*$W$21*$E$21+AP$22*$W$22*$E$22+AP$23*$W$23*$E$23+AP$24*$W$24*$E$24)/100</f>
        <v>0</v>
      </c>
      <c r="AQ64" s="1100">
        <f t="shared" si="102"/>
        <v>0</v>
      </c>
      <c r="AR64" s="1100">
        <f t="shared" si="102"/>
        <v>0</v>
      </c>
      <c r="AS64" s="1100">
        <f t="shared" si="102"/>
        <v>0</v>
      </c>
      <c r="AT64" s="1100">
        <f t="shared" si="102"/>
        <v>0</v>
      </c>
      <c r="AU64" s="1100">
        <f t="shared" si="102"/>
        <v>0</v>
      </c>
      <c r="AV64" s="1100">
        <f t="shared" si="102"/>
        <v>0</v>
      </c>
      <c r="AW64" s="1100">
        <f t="shared" si="102"/>
        <v>0</v>
      </c>
      <c r="AX64" s="1100">
        <f t="shared" si="102"/>
        <v>0</v>
      </c>
      <c r="AY64" s="1049"/>
      <c r="AZ64" s="1049"/>
      <c r="BA64" s="1049"/>
      <c r="BB64" s="1049"/>
      <c r="BC64" s="1049"/>
      <c r="BD64" s="1049"/>
      <c r="BE64" s="1049"/>
      <c r="BF64" s="1049"/>
      <c r="BG64" s="1049"/>
      <c r="BH64" s="1049"/>
      <c r="BI64" s="1049"/>
    </row>
    <row r="65" spans="1:61" ht="15.75" customHeight="1" x14ac:dyDescent="0.2">
      <c r="A65" s="1036"/>
      <c r="B65" s="1047"/>
      <c r="C65" s="1047"/>
      <c r="D65" s="1049"/>
      <c r="E65" s="1049"/>
      <c r="F65" s="1049"/>
      <c r="G65" s="1049"/>
      <c r="H65" s="1049"/>
      <c r="I65" s="1049"/>
      <c r="J65" s="1049"/>
      <c r="K65" s="1049"/>
      <c r="L65" s="1049"/>
      <c r="M65" s="1049"/>
      <c r="N65" s="1049"/>
      <c r="O65" s="1049"/>
      <c r="P65" s="1049"/>
      <c r="Q65" s="1049"/>
      <c r="R65" s="1049"/>
      <c r="S65" s="1049"/>
      <c r="T65" s="1049"/>
      <c r="U65" s="1049"/>
      <c r="V65" s="1049"/>
      <c r="W65" s="1049"/>
      <c r="X65" s="1049"/>
      <c r="Y65" s="1049"/>
      <c r="Z65" s="1049"/>
      <c r="AA65" s="1049"/>
      <c r="AB65" s="1049"/>
      <c r="AC65" s="1049"/>
      <c r="AD65" s="1049"/>
      <c r="AE65" s="1049"/>
      <c r="AF65" s="1049"/>
      <c r="AG65" s="1049"/>
      <c r="AH65" s="1049"/>
      <c r="AI65" s="1049"/>
      <c r="AJ65" s="1049"/>
      <c r="AK65" s="1049"/>
      <c r="AL65" s="1049"/>
      <c r="AM65" s="1049"/>
      <c r="AN65" s="1049"/>
      <c r="AO65" s="1071" t="str">
        <f>X2&amp;", g"</f>
        <v>P, g</v>
      </c>
      <c r="AP65" s="1100">
        <f t="shared" ref="AP65:AX65" si="103">(AP$4*$X$4*$E$4+AP$5*$X$5*$E$5+AP$6*$X$6*$E$6+AP$7*$X$7*$E$7+AP$8*$X$8*$E$8+AP$9*$X$9*$E$9+AP$10*$X$10*$E$10+AP$11*$X$11*$E$11+AP$12*$X$12*$E$12+AP$13*$X$13*$E$13+AP$14*$X$14*$E$14+AP$15*$X$15*$E$15+AP$16*$X$16*$E$16+AP$17*$X$17*$E$17+AP$18*$X$18*$E$18+AP$19*$X$19*$E$19+AP$20*$X$20*$E$20+AP$21*$X$21*$E$21+AP$22*$X$22*$E$22+AP$23*$X$23*$E$23+AP$24*$X$24*$E$24)/100</f>
        <v>0</v>
      </c>
      <c r="AQ65" s="1100">
        <f t="shared" si="103"/>
        <v>0</v>
      </c>
      <c r="AR65" s="1100">
        <f t="shared" si="103"/>
        <v>0</v>
      </c>
      <c r="AS65" s="1100">
        <f t="shared" si="103"/>
        <v>0</v>
      </c>
      <c r="AT65" s="1100">
        <f t="shared" si="103"/>
        <v>0</v>
      </c>
      <c r="AU65" s="1100">
        <f t="shared" si="103"/>
        <v>0</v>
      </c>
      <c r="AV65" s="1100">
        <f t="shared" si="103"/>
        <v>0</v>
      </c>
      <c r="AW65" s="1100">
        <f t="shared" si="103"/>
        <v>0</v>
      </c>
      <c r="AX65" s="1100">
        <f t="shared" si="103"/>
        <v>0</v>
      </c>
      <c r="AY65" s="1049"/>
      <c r="AZ65" s="1049"/>
      <c r="BA65" s="1049"/>
      <c r="BB65" s="1049"/>
      <c r="BC65" s="1049"/>
      <c r="BD65" s="1049"/>
      <c r="BE65" s="1049"/>
      <c r="BF65" s="1049"/>
      <c r="BG65" s="1049"/>
      <c r="BH65" s="1049"/>
      <c r="BI65" s="1049"/>
    </row>
    <row r="66" spans="1:61" ht="15.75" customHeight="1" x14ac:dyDescent="0.2">
      <c r="A66" s="1036"/>
      <c r="B66" s="1047"/>
      <c r="C66" s="1047"/>
      <c r="D66" s="1049"/>
      <c r="E66" s="1049"/>
      <c r="F66" s="1049"/>
      <c r="G66" s="1049"/>
      <c r="H66" s="1049"/>
      <c r="I66" s="1049"/>
      <c r="J66" s="1049"/>
      <c r="K66" s="1049"/>
      <c r="L66" s="1049"/>
      <c r="M66" s="1049"/>
      <c r="N66" s="1049"/>
      <c r="O66" s="1049"/>
      <c r="P66" s="1049"/>
      <c r="Q66" s="1049"/>
      <c r="R66" s="1049"/>
      <c r="S66" s="1049"/>
      <c r="T66" s="1049"/>
      <c r="U66" s="1049"/>
      <c r="V66" s="1049"/>
      <c r="W66" s="1049"/>
      <c r="X66" s="1049"/>
      <c r="Y66" s="1049"/>
      <c r="Z66" s="1049"/>
      <c r="AA66" s="1049"/>
      <c r="AB66" s="1049"/>
      <c r="AC66" s="1049"/>
      <c r="AD66" s="1049"/>
      <c r="AE66" s="1049"/>
      <c r="AF66" s="1049"/>
      <c r="AG66" s="1049"/>
      <c r="AH66" s="1049"/>
      <c r="AI66" s="1049"/>
      <c r="AJ66" s="1049"/>
      <c r="AK66" s="1049"/>
      <c r="AL66" s="1049"/>
      <c r="AM66" s="1049"/>
      <c r="AN66" s="1049"/>
      <c r="AO66" s="1071" t="str">
        <f>Y2&amp;", g"</f>
        <v>Na, g</v>
      </c>
      <c r="AP66" s="1099">
        <f t="shared" ref="AP66:AX66" si="104">(AP$4*$Y$4*$E$4+AP$5*$Y$5*$E$5+AP$6*$Y$6*$E$6+AP$7*$Y$7*$E$7+AP$8*$Y$8*$E$8+AP$9*$Y$9*$E$9+AP$10*$Y$10*$E$10+AP$11*$Y$11*$E$11+AP$12*$Y$12*$E$12+AP$13*$Y$13*$E$13+AP$14*$Y$14*$E$14+AP$15*$Y$15*$E$15+AP$16*$Y$16*$E$16+AP$17*$Y$17*$E$17+AP$18*$Y$18*$E$18+AP$19*$Y$19*$E$19+AP$20*$Y$20*$E$20+AP$21*$Y$21*$E$21+AP$22*$Y$22*$E$22+AP$23*$Y$23*$E$23+AP$24*$Y$24*$E$24)/100</f>
        <v>0</v>
      </c>
      <c r="AQ66" s="1099">
        <f t="shared" si="104"/>
        <v>0</v>
      </c>
      <c r="AR66" s="1099">
        <f t="shared" si="104"/>
        <v>0</v>
      </c>
      <c r="AS66" s="1099">
        <f t="shared" si="104"/>
        <v>0</v>
      </c>
      <c r="AT66" s="1099">
        <f t="shared" si="104"/>
        <v>0</v>
      </c>
      <c r="AU66" s="1099">
        <f t="shared" si="104"/>
        <v>0</v>
      </c>
      <c r="AV66" s="1099">
        <f t="shared" si="104"/>
        <v>0</v>
      </c>
      <c r="AW66" s="1099">
        <f t="shared" si="104"/>
        <v>0</v>
      </c>
      <c r="AX66" s="1099">
        <f t="shared" si="104"/>
        <v>0</v>
      </c>
      <c r="AY66" s="1049"/>
      <c r="AZ66" s="1049"/>
      <c r="BA66" s="1049"/>
      <c r="BB66" s="1049"/>
      <c r="BC66" s="1049"/>
      <c r="BD66" s="1049"/>
      <c r="BE66" s="1049"/>
      <c r="BF66" s="1049"/>
      <c r="BG66" s="1049"/>
      <c r="BH66" s="1049"/>
      <c r="BI66" s="1049"/>
    </row>
    <row r="67" spans="1:61" ht="15.75" customHeight="1" x14ac:dyDescent="0.2">
      <c r="A67" s="1036"/>
      <c r="B67" s="1047"/>
      <c r="C67" s="1047"/>
      <c r="D67" s="1049"/>
      <c r="E67" s="1049"/>
      <c r="F67" s="1049"/>
      <c r="G67" s="1049"/>
      <c r="H67" s="1049"/>
      <c r="I67" s="1049"/>
      <c r="J67" s="1049"/>
      <c r="K67" s="1049"/>
      <c r="L67" s="1049"/>
      <c r="M67" s="1049"/>
      <c r="N67" s="1049"/>
      <c r="O67" s="1049"/>
      <c r="P67" s="1049"/>
      <c r="Q67" s="1049"/>
      <c r="R67" s="1049"/>
      <c r="S67" s="1049"/>
      <c r="T67" s="1049"/>
      <c r="U67" s="1049"/>
      <c r="V67" s="1049"/>
      <c r="W67" s="1049"/>
      <c r="X67" s="1049"/>
      <c r="Y67" s="1049"/>
      <c r="Z67" s="1049"/>
      <c r="AA67" s="1049"/>
      <c r="AB67" s="1049"/>
      <c r="AC67" s="1049"/>
      <c r="AD67" s="1049"/>
      <c r="AE67" s="1049"/>
      <c r="AF67" s="1049"/>
      <c r="AG67" s="1049"/>
      <c r="AH67" s="1049"/>
      <c r="AI67" s="1049"/>
      <c r="AJ67" s="1049"/>
      <c r="AK67" s="1049"/>
      <c r="AL67" s="1049"/>
      <c r="AM67" s="1049"/>
      <c r="AN67" s="1049"/>
      <c r="AO67" s="1071" t="str">
        <f>Z2&amp;", g"</f>
        <v>Mg, g</v>
      </c>
      <c r="AP67" s="1099">
        <f t="shared" ref="AP67:AX67" si="105">(AP$4*$Z$4*$E$4+AP$5*$Z$5*$E$5+AP$6*$Z$6*$E$6+AP$7*$Z$7*$E$7+AP$8*$Z$8*$E$8+AP$9*$Z$9*$E$9+AP$10*$Z$10*$E$10+AP$11*$Z$11*$E$11+AP$12*$Z$12*$E$12+AP$13*$Z$13*$E$13+AP$14*$Z$14*$E$14+AP$15*$Z$15*$E$15+AP$16*$Z$16*$E$16+AP$17*$Z$17*$E$17+AP$18*$Z$18*$E$18+AP$19*$Z$19*$E$19+AP$20*$Z$20*$E$20+AP$21*$Z$21*$E$21+AP$22*$Z$22*$E$22+AP$23*$Z$23*$E$23+AP$24*$Z$24*$E$24)/100</f>
        <v>0</v>
      </c>
      <c r="AQ67" s="1099">
        <f t="shared" si="105"/>
        <v>0</v>
      </c>
      <c r="AR67" s="1099">
        <f t="shared" si="105"/>
        <v>0</v>
      </c>
      <c r="AS67" s="1099">
        <f t="shared" si="105"/>
        <v>0</v>
      </c>
      <c r="AT67" s="1099">
        <f t="shared" si="105"/>
        <v>0</v>
      </c>
      <c r="AU67" s="1099">
        <f t="shared" si="105"/>
        <v>0</v>
      </c>
      <c r="AV67" s="1099">
        <f t="shared" si="105"/>
        <v>0</v>
      </c>
      <c r="AW67" s="1099">
        <f t="shared" si="105"/>
        <v>0</v>
      </c>
      <c r="AX67" s="1099">
        <f t="shared" si="105"/>
        <v>0</v>
      </c>
      <c r="AY67" s="1049"/>
      <c r="AZ67" s="1049"/>
      <c r="BA67" s="1049"/>
      <c r="BB67" s="1049"/>
      <c r="BC67" s="1049"/>
      <c r="BD67" s="1049"/>
      <c r="BE67" s="1049"/>
      <c r="BF67" s="1049"/>
      <c r="BG67" s="1049"/>
      <c r="BH67" s="1049"/>
      <c r="BI67" s="1049"/>
    </row>
    <row r="68" spans="1:61" ht="15.75" customHeight="1" x14ac:dyDescent="0.2">
      <c r="A68" s="1036"/>
      <c r="B68" s="1047"/>
      <c r="C68" s="1047"/>
      <c r="D68" s="1049"/>
      <c r="E68" s="1049"/>
      <c r="F68" s="1049"/>
      <c r="G68" s="1049"/>
      <c r="H68" s="1049"/>
      <c r="I68" s="1049"/>
      <c r="J68" s="1049"/>
      <c r="K68" s="1049"/>
      <c r="L68" s="1049"/>
      <c r="M68" s="1049"/>
      <c r="N68" s="1049"/>
      <c r="O68" s="1049"/>
      <c r="P68" s="1049"/>
      <c r="Q68" s="1049"/>
      <c r="R68" s="1049"/>
      <c r="S68" s="1049"/>
      <c r="T68" s="1049"/>
      <c r="U68" s="1049"/>
      <c r="V68" s="1049"/>
      <c r="W68" s="1049"/>
      <c r="X68" s="1049"/>
      <c r="Y68" s="1049"/>
      <c r="Z68" s="1049"/>
      <c r="AA68" s="1049"/>
      <c r="AB68" s="1049"/>
      <c r="AC68" s="1049"/>
      <c r="AD68" s="1049"/>
      <c r="AE68" s="1049"/>
      <c r="AF68" s="1049"/>
      <c r="AG68" s="1049"/>
      <c r="AH68" s="1049"/>
      <c r="AI68" s="1049"/>
      <c r="AJ68" s="1049"/>
      <c r="AK68" s="1049"/>
      <c r="AL68" s="1049"/>
      <c r="AM68" s="1049"/>
      <c r="AN68" s="1049"/>
      <c r="AO68" s="1071" t="str">
        <f>AA2&amp;", g"</f>
        <v>K, g</v>
      </c>
      <c r="AP68" s="1100">
        <f t="shared" ref="AP68:AX68" si="106">(AP$4*$AA$4*$E$4+AP$5*$AA$5*$E$5+AP$6*$AA$6*$E$6+AP$7*$AA$7*$E$7+AP$8*$AA$8*$E$8+AP$9*$AA$9*$E$9+AP$10*$AA$10*$E$10+AP$11*$AA$11*$E$11+AP$12*$AA$12*$E$12+AP$13*$AA$13*$E$13+AP$14*$AA$14*$E$14+AP$15*$AA$15*$E$15+AP$16*$AA$16*$E$16+AP$17*$AA$17*$E$17+AP$18*$AA$18*$E$18+AP$19*$AA$19*$E$19+AP$20*$AA$20*$E$20+AP$21*$AA$21*$E$21+AP$22*$AA$22*$E$22+AP$23*$AA$23*$E$23+AP$24*$AA$24*$E$24)/100</f>
        <v>0</v>
      </c>
      <c r="AQ68" s="1100">
        <f t="shared" si="106"/>
        <v>0</v>
      </c>
      <c r="AR68" s="1100">
        <f t="shared" si="106"/>
        <v>0</v>
      </c>
      <c r="AS68" s="1100">
        <f t="shared" si="106"/>
        <v>0</v>
      </c>
      <c r="AT68" s="1100">
        <f t="shared" si="106"/>
        <v>0</v>
      </c>
      <c r="AU68" s="1100">
        <f t="shared" si="106"/>
        <v>0</v>
      </c>
      <c r="AV68" s="1100">
        <f t="shared" si="106"/>
        <v>0</v>
      </c>
      <c r="AW68" s="1100">
        <f t="shared" si="106"/>
        <v>0</v>
      </c>
      <c r="AX68" s="1100">
        <f t="shared" si="106"/>
        <v>0</v>
      </c>
      <c r="AY68" s="1049"/>
      <c r="AZ68" s="1049"/>
      <c r="BA68" s="1049"/>
      <c r="BB68" s="1049"/>
      <c r="BC68" s="1049"/>
      <c r="BD68" s="1049"/>
      <c r="BE68" s="1049"/>
      <c r="BF68" s="1049"/>
      <c r="BG68" s="1049"/>
      <c r="BH68" s="1049"/>
      <c r="BI68" s="1049"/>
    </row>
    <row r="69" spans="1:61" ht="15.75" customHeight="1" x14ac:dyDescent="0.2">
      <c r="A69" s="1036"/>
      <c r="B69" s="1047"/>
      <c r="C69" s="1047"/>
      <c r="D69" s="1049"/>
      <c r="E69" s="1049"/>
      <c r="F69" s="1049"/>
      <c r="G69" s="1049"/>
      <c r="H69" s="1049"/>
      <c r="I69" s="1049"/>
      <c r="J69" s="1049"/>
      <c r="K69" s="1049"/>
      <c r="L69" s="1049"/>
      <c r="M69" s="1049"/>
      <c r="N69" s="1049"/>
      <c r="O69" s="1049"/>
      <c r="P69" s="1049"/>
      <c r="Q69" s="1049"/>
      <c r="R69" s="1049"/>
      <c r="S69" s="1049"/>
      <c r="T69" s="1049"/>
      <c r="U69" s="1049"/>
      <c r="V69" s="1049"/>
      <c r="W69" s="1049"/>
      <c r="X69" s="1049"/>
      <c r="Y69" s="1049"/>
      <c r="Z69" s="1049"/>
      <c r="AA69" s="1049"/>
      <c r="AB69" s="1049"/>
      <c r="AC69" s="1049"/>
      <c r="AD69" s="1049"/>
      <c r="AE69" s="1049"/>
      <c r="AF69" s="1049"/>
      <c r="AG69" s="1049"/>
      <c r="AH69" s="1049"/>
      <c r="AI69" s="1049"/>
      <c r="AJ69" s="1049"/>
      <c r="AK69" s="1049"/>
      <c r="AL69" s="1049"/>
      <c r="AM69" s="1049"/>
      <c r="AN69" s="1049"/>
      <c r="AO69" s="1071" t="str">
        <f>AB2&amp;", g"</f>
        <v>Se, g</v>
      </c>
      <c r="AP69" s="1099">
        <f t="shared" ref="AP69:AX69" si="107">(AP$4*$AB$4*$E$4+AP$5*$AB$5*$E$5+AP$6*$AB$6*$E$6+AP$7*$AB$7*$E$7+AP$8*$AB$8*$E$8+AP$9*$AB$9*$E$9+AP$10*$AB$10*$E$10+AP$11*$AB$11*$E$11+AP$12*$AB$12*$E$12+AP$13*$AB$13*$E$13+AP$14*$AB$14*$E$14+AP$15*$AB$15*$E$15+AP$16*$AB$16*$E$16+AP$17*$AB$17*$E$17+AP$18*$AB$18*$E$18+AP$19*$AB$19*$E$19+AP$20*$AB$20*$E$20+AP$21*$AB$21*$E$21+AP$22*$AB$22*$E$22+AP$23*$AB$23*$E$23+AP$24*$AB$24*$E$24)/100</f>
        <v>0</v>
      </c>
      <c r="AQ69" s="1099">
        <f t="shared" si="107"/>
        <v>0</v>
      </c>
      <c r="AR69" s="1099">
        <f t="shared" si="107"/>
        <v>0</v>
      </c>
      <c r="AS69" s="1099">
        <f t="shared" si="107"/>
        <v>0</v>
      </c>
      <c r="AT69" s="1099">
        <f t="shared" si="107"/>
        <v>0</v>
      </c>
      <c r="AU69" s="1099">
        <f t="shared" si="107"/>
        <v>0</v>
      </c>
      <c r="AV69" s="1099">
        <f t="shared" si="107"/>
        <v>0</v>
      </c>
      <c r="AW69" s="1099">
        <f t="shared" si="107"/>
        <v>0</v>
      </c>
      <c r="AX69" s="1099">
        <f t="shared" si="107"/>
        <v>0</v>
      </c>
      <c r="AY69" s="1049"/>
      <c r="AZ69" s="1049"/>
      <c r="BA69" s="1049"/>
      <c r="BB69" s="1049"/>
      <c r="BC69" s="1049"/>
      <c r="BD69" s="1049"/>
      <c r="BE69" s="1049"/>
      <c r="BF69" s="1049"/>
      <c r="BG69" s="1049"/>
      <c r="BH69" s="1049"/>
      <c r="BI69" s="1049"/>
    </row>
    <row r="70" spans="1:61" ht="15.75" customHeight="1" x14ac:dyDescent="0.2">
      <c r="A70" s="1036"/>
      <c r="B70" s="1047"/>
      <c r="C70" s="1047"/>
      <c r="D70" s="1049"/>
      <c r="E70" s="1049"/>
      <c r="F70" s="1049"/>
      <c r="G70" s="1049"/>
      <c r="H70" s="1049"/>
      <c r="I70" s="1049"/>
      <c r="J70" s="1049"/>
      <c r="K70" s="1049"/>
      <c r="L70" s="1049"/>
      <c r="M70" s="1049"/>
      <c r="N70" s="1049"/>
      <c r="O70" s="1049"/>
      <c r="P70" s="1049"/>
      <c r="Q70" s="1049"/>
      <c r="R70" s="1049"/>
      <c r="S70" s="1049"/>
      <c r="T70" s="1049"/>
      <c r="U70" s="1049"/>
      <c r="V70" s="1049"/>
      <c r="W70" s="1049"/>
      <c r="X70" s="1049"/>
      <c r="Y70" s="1049"/>
      <c r="Z70" s="1049"/>
      <c r="AA70" s="1049"/>
      <c r="AB70" s="1049"/>
      <c r="AC70" s="1049"/>
      <c r="AD70" s="1049"/>
      <c r="AE70" s="1049"/>
      <c r="AF70" s="1049"/>
      <c r="AG70" s="1049"/>
      <c r="AH70" s="1049"/>
      <c r="AI70" s="1049"/>
      <c r="AJ70" s="1049"/>
      <c r="AK70" s="1049"/>
      <c r="AL70" s="1049"/>
      <c r="AM70" s="1049"/>
      <c r="AN70" s="1049"/>
      <c r="AO70" s="1071" t="str">
        <f>AC2&amp;", meq"</f>
        <v>DCAB, meq</v>
      </c>
      <c r="AP70" s="1099">
        <f t="shared" ref="AP70:AX70" si="108">(AP$4*$AC$4*$E$4+AP$5*$AC$5*$E$5+AP$6*$AC$6*$E$6+AP$7*$AC$7*$E$7+AP$8*$AC$8*$E$8+AP$9*$AC$9*$E$9+AP$10*$AC$10*$E$10+AP$11*$AC$11*$E$11+AP$12*$AC$12*$E$12+AP$13*$AC$13*$E$13+AP$14*$AC$14*$E$14+AP$15*$AC$15*$E$15+AP$16*$AC$16*$E$16+AP$17*$AC$17*$E$17+AP$18*$AC$18*$E$18+AP$19*$AC$19*$E$19+AP$20*$AC$20*$E$20+AP$21*$AC$21*$E$21+AP$22*$AC$22*$E$22+AP$23*$AC$23*$E$23+AP$24*$AC$24*$E$24)/100</f>
        <v>0</v>
      </c>
      <c r="AQ70" s="1099">
        <f t="shared" si="108"/>
        <v>0</v>
      </c>
      <c r="AR70" s="1099">
        <f t="shared" si="108"/>
        <v>0</v>
      </c>
      <c r="AS70" s="1099">
        <f t="shared" si="108"/>
        <v>0</v>
      </c>
      <c r="AT70" s="1099">
        <f t="shared" si="108"/>
        <v>0</v>
      </c>
      <c r="AU70" s="1099">
        <f t="shared" si="108"/>
        <v>0</v>
      </c>
      <c r="AV70" s="1099">
        <f t="shared" si="108"/>
        <v>0</v>
      </c>
      <c r="AW70" s="1099">
        <f t="shared" si="108"/>
        <v>0</v>
      </c>
      <c r="AX70" s="1099">
        <f t="shared" si="108"/>
        <v>0</v>
      </c>
      <c r="AY70" s="1049"/>
      <c r="AZ70" s="1049"/>
      <c r="BA70" s="1049"/>
      <c r="BB70" s="1049"/>
      <c r="BC70" s="1049"/>
      <c r="BD70" s="1049"/>
      <c r="BE70" s="1049"/>
      <c r="BF70" s="1049"/>
      <c r="BG70" s="1049"/>
      <c r="BH70" s="1049"/>
      <c r="BI70" s="1049"/>
    </row>
    <row r="71" spans="1:61" ht="15.75" customHeight="1" x14ac:dyDescent="0.2">
      <c r="A71" s="1036"/>
      <c r="B71" s="1047"/>
      <c r="C71" s="1047"/>
      <c r="D71" s="1049"/>
      <c r="E71" s="1049"/>
      <c r="F71" s="1049"/>
      <c r="G71" s="1049"/>
      <c r="H71" s="1049"/>
      <c r="I71" s="1049"/>
      <c r="J71" s="1049"/>
      <c r="K71" s="1049"/>
      <c r="L71" s="1049"/>
      <c r="M71" s="1049"/>
      <c r="N71" s="1049"/>
      <c r="O71" s="1049"/>
      <c r="P71" s="1049"/>
      <c r="Q71" s="1049"/>
      <c r="R71" s="1049"/>
      <c r="S71" s="1049"/>
      <c r="T71" s="1049"/>
      <c r="U71" s="1049"/>
      <c r="V71" s="1049"/>
      <c r="W71" s="1049"/>
      <c r="X71" s="1049"/>
      <c r="Y71" s="1049"/>
      <c r="Z71" s="1049"/>
      <c r="AA71" s="1049"/>
      <c r="AB71" s="1049"/>
      <c r="AC71" s="1049"/>
      <c r="AD71" s="1049"/>
      <c r="AE71" s="1049"/>
      <c r="AF71" s="1049"/>
      <c r="AG71" s="1049"/>
      <c r="AH71" s="1049"/>
      <c r="AI71" s="1049"/>
      <c r="AJ71" s="1049"/>
      <c r="AK71" s="1049"/>
      <c r="AL71" s="1049"/>
      <c r="AM71" s="1049"/>
      <c r="AN71" s="1049"/>
      <c r="AO71" s="1071" t="str">
        <f>AD2&amp;", €/kg TM"</f>
        <v>Kosten, €/kg TM</v>
      </c>
      <c r="AP71" s="1099" t="e">
        <f t="shared" ref="AP71:AX71" si="109">(AP$4*$AD$4*$E$4+AP$5*$AD$5*$E$5+AP$6*$AD$6*$E$6+AP$7*$AD$7*$E$7+AP$8*$AD$8*$E$8+AP$9*$AD$9*$E$9+AP$10*$AD$10*$E$10+AP$11*$AD$11*$E$11+AP$12*$AD$12*$E$12+AP$13*$AD$13*$E$13+AP$14*$AD$14*$E$14+AP$15*$AD$15*$E$15+AP$16*$AD$16*$E$16+AP$17*$AD$17*$E$17+AP$18*$AD$18*$E$18+AP$19*$AD$19*$E$19+AP$20*$AD$20*$E$20+AP$21*$AD$21*$E$21+AP$22*$AD$22*$E$22+AP$23*$AD$23*$E$23+AP$24*$AD$24*$E$24)/100</f>
        <v>#DIV/0!</v>
      </c>
      <c r="AQ71" s="1099" t="e">
        <f t="shared" si="109"/>
        <v>#DIV/0!</v>
      </c>
      <c r="AR71" s="1099" t="e">
        <f t="shared" si="109"/>
        <v>#DIV/0!</v>
      </c>
      <c r="AS71" s="1099" t="e">
        <f t="shared" si="109"/>
        <v>#DIV/0!</v>
      </c>
      <c r="AT71" s="1099" t="e">
        <f t="shared" si="109"/>
        <v>#DIV/0!</v>
      </c>
      <c r="AU71" s="1099" t="e">
        <f t="shared" si="109"/>
        <v>#DIV/0!</v>
      </c>
      <c r="AV71" s="1099" t="e">
        <f t="shared" si="109"/>
        <v>#DIV/0!</v>
      </c>
      <c r="AW71" s="1099" t="e">
        <f t="shared" si="109"/>
        <v>#DIV/0!</v>
      </c>
      <c r="AX71" s="1099" t="e">
        <f t="shared" si="109"/>
        <v>#DIV/0!</v>
      </c>
      <c r="AY71" s="1049"/>
      <c r="AZ71" s="1049"/>
      <c r="BA71" s="1049"/>
      <c r="BB71" s="1049"/>
      <c r="BC71" s="1049"/>
      <c r="BD71" s="1049"/>
      <c r="BE71" s="1049"/>
      <c r="BF71" s="1049"/>
      <c r="BG71" s="1049"/>
      <c r="BH71" s="1049"/>
      <c r="BI71" s="1049"/>
    </row>
    <row r="72" spans="1:61" ht="15.75" customHeight="1" x14ac:dyDescent="0.2">
      <c r="A72" s="1036"/>
      <c r="B72" s="1047"/>
      <c r="C72" s="1047"/>
      <c r="D72" s="1049"/>
      <c r="E72" s="1049"/>
      <c r="F72" s="1049"/>
      <c r="G72" s="1049"/>
      <c r="H72" s="1049"/>
      <c r="I72" s="1049"/>
      <c r="J72" s="1049"/>
      <c r="K72" s="1049"/>
      <c r="L72" s="1049"/>
      <c r="M72" s="1049"/>
      <c r="N72" s="1049"/>
      <c r="O72" s="1049"/>
      <c r="P72" s="1049"/>
      <c r="Q72" s="1049"/>
      <c r="R72" s="1049"/>
      <c r="S72" s="1049"/>
      <c r="T72" s="1049"/>
      <c r="U72" s="1049"/>
      <c r="V72" s="1049"/>
      <c r="W72" s="1049"/>
      <c r="X72" s="1049"/>
      <c r="Y72" s="1049"/>
      <c r="Z72" s="1049"/>
      <c r="AA72" s="1049"/>
      <c r="AB72" s="1049"/>
      <c r="AC72" s="1049"/>
      <c r="AD72" s="1049"/>
      <c r="AE72" s="1049"/>
      <c r="AF72" s="1049"/>
      <c r="AG72" s="1049"/>
      <c r="AH72" s="1049"/>
      <c r="AI72" s="1049"/>
      <c r="AJ72" s="1049"/>
      <c r="AK72" s="1049"/>
      <c r="AL72" s="1049"/>
      <c r="AM72" s="1049"/>
      <c r="AN72" s="1049"/>
      <c r="AO72" s="1037"/>
      <c r="AP72" s="1037"/>
      <c r="AQ72" s="1037"/>
      <c r="AR72" s="1037"/>
      <c r="AS72" s="1037"/>
      <c r="AT72" s="1037"/>
      <c r="AU72" s="1037"/>
      <c r="AV72" s="1037"/>
      <c r="AW72" s="1037"/>
      <c r="AX72" s="1037"/>
      <c r="AY72" s="1049"/>
      <c r="AZ72" s="1049"/>
      <c r="BA72" s="1049"/>
      <c r="BB72" s="1049"/>
      <c r="BC72" s="1049"/>
      <c r="BD72" s="1049"/>
      <c r="BE72" s="1049"/>
      <c r="BF72" s="1049"/>
      <c r="BG72" s="1049"/>
      <c r="BH72" s="1049"/>
      <c r="BI72" s="1049"/>
    </row>
    <row r="73" spans="1:61" ht="15.75" customHeight="1" x14ac:dyDescent="0.2">
      <c r="A73" s="1036"/>
      <c r="B73" s="1047"/>
      <c r="C73" s="1047"/>
      <c r="D73" s="1049"/>
      <c r="E73" s="1049"/>
      <c r="F73" s="1049"/>
      <c r="G73" s="1049"/>
      <c r="H73" s="1049"/>
      <c r="I73" s="1049"/>
      <c r="J73" s="1049"/>
      <c r="K73" s="1049"/>
      <c r="L73" s="1049"/>
      <c r="M73" s="1049"/>
      <c r="N73" s="1049"/>
      <c r="O73" s="1049"/>
      <c r="P73" s="1049"/>
      <c r="Q73" s="1049"/>
      <c r="R73" s="1049"/>
      <c r="S73" s="1049"/>
      <c r="T73" s="1049"/>
      <c r="U73" s="1049"/>
      <c r="V73" s="1049"/>
      <c r="W73" s="1049"/>
      <c r="X73" s="1049"/>
      <c r="Y73" s="1049"/>
      <c r="Z73" s="1049"/>
      <c r="AA73" s="1049"/>
      <c r="AB73" s="1049"/>
      <c r="AC73" s="1049"/>
      <c r="AD73" s="1049"/>
      <c r="AE73" s="1049"/>
      <c r="AF73" s="1049"/>
      <c r="AG73" s="1049"/>
      <c r="AH73" s="1049"/>
      <c r="AI73" s="1049"/>
      <c r="AJ73" s="1049"/>
      <c r="AK73" s="1049"/>
      <c r="AL73" s="1049"/>
      <c r="AM73" s="1049"/>
      <c r="AN73" s="1049"/>
      <c r="AO73" s="1037"/>
      <c r="AP73" s="1037"/>
      <c r="AQ73" s="1037"/>
      <c r="AR73" s="1037"/>
      <c r="AS73" s="1037"/>
      <c r="AT73" s="1037"/>
      <c r="AU73" s="1037"/>
      <c r="AV73" s="1037"/>
      <c r="AW73" s="1037"/>
      <c r="AX73" s="1037"/>
      <c r="AY73" s="1049"/>
      <c r="AZ73" s="1049"/>
      <c r="BA73" s="1049"/>
      <c r="BB73" s="1049"/>
      <c r="BC73" s="1049"/>
      <c r="BD73" s="1049"/>
      <c r="BE73" s="1049"/>
      <c r="BF73" s="1049"/>
      <c r="BG73" s="1049"/>
      <c r="BH73" s="1049"/>
      <c r="BI73" s="1049"/>
    </row>
    <row r="74" spans="1:61" ht="15.75" customHeight="1" x14ac:dyDescent="0.2">
      <c r="A74" s="1036"/>
      <c r="B74" s="1047"/>
      <c r="C74" s="1047"/>
      <c r="D74" s="1049"/>
      <c r="E74" s="1049"/>
      <c r="F74" s="1049"/>
      <c r="G74" s="1049"/>
      <c r="H74" s="1049"/>
      <c r="I74" s="1049"/>
      <c r="J74" s="1049"/>
      <c r="K74" s="1049"/>
      <c r="L74" s="1049"/>
      <c r="M74" s="1049"/>
      <c r="N74" s="1049"/>
      <c r="O74" s="1049"/>
      <c r="P74" s="1049"/>
      <c r="Q74" s="1049"/>
      <c r="R74" s="1049"/>
      <c r="S74" s="1049"/>
      <c r="T74" s="1049"/>
      <c r="U74" s="1049"/>
      <c r="V74" s="1049"/>
      <c r="W74" s="1049"/>
      <c r="X74" s="1049"/>
      <c r="Y74" s="1049"/>
      <c r="Z74" s="1049"/>
      <c r="AA74" s="1049"/>
      <c r="AB74" s="1049"/>
      <c r="AC74" s="1049"/>
      <c r="AD74" s="1049"/>
      <c r="AE74" s="1049"/>
      <c r="AF74" s="1049"/>
      <c r="AG74" s="1049"/>
      <c r="AH74" s="1049"/>
      <c r="AI74" s="1049"/>
      <c r="AJ74" s="1049"/>
      <c r="AK74" s="1049"/>
      <c r="AL74" s="1049"/>
      <c r="AM74" s="1049"/>
      <c r="AN74" s="1049"/>
      <c r="AO74" s="1037"/>
      <c r="AP74" s="1037"/>
      <c r="AQ74" s="1037"/>
      <c r="AR74" s="1037"/>
      <c r="AS74" s="1037"/>
      <c r="AT74" s="1037"/>
      <c r="AU74" s="1037"/>
      <c r="AV74" s="1037"/>
      <c r="AW74" s="1037"/>
      <c r="AX74" s="1037"/>
      <c r="AY74" s="1049"/>
      <c r="AZ74" s="1049"/>
      <c r="BA74" s="1049"/>
      <c r="BB74" s="1049"/>
      <c r="BC74" s="1049"/>
      <c r="BD74" s="1049"/>
      <c r="BE74" s="1049"/>
      <c r="BF74" s="1049"/>
      <c r="BG74" s="1049"/>
      <c r="BH74" s="1049"/>
      <c r="BI74" s="1049"/>
    </row>
    <row r="75" spans="1:61" ht="15.75" customHeight="1" x14ac:dyDescent="0.2">
      <c r="A75" s="1036">
        <v>2</v>
      </c>
      <c r="B75" s="1047"/>
      <c r="C75" s="1047"/>
      <c r="D75" s="1049"/>
      <c r="E75" s="1049"/>
      <c r="F75" s="1049"/>
      <c r="G75" s="1049"/>
      <c r="H75" s="1049"/>
      <c r="I75" s="1049"/>
      <c r="J75" s="1049"/>
      <c r="K75" s="1049"/>
      <c r="L75" s="1049"/>
      <c r="M75" s="1049"/>
      <c r="N75" s="1049"/>
      <c r="O75" s="1049"/>
      <c r="P75" s="1049"/>
      <c r="Q75" s="1049"/>
      <c r="R75" s="1049"/>
      <c r="S75" s="1049"/>
      <c r="T75" s="1049"/>
      <c r="U75" s="1049"/>
      <c r="V75" s="1049"/>
      <c r="W75" s="1049"/>
      <c r="X75" s="1049"/>
      <c r="Y75" s="1049"/>
      <c r="Z75" s="1049"/>
      <c r="AA75" s="1049"/>
      <c r="AB75" s="1049"/>
      <c r="AC75" s="1049"/>
      <c r="AD75" s="1049"/>
      <c r="AE75" s="1049"/>
      <c r="AF75" s="1049"/>
      <c r="AG75" s="1049"/>
      <c r="AH75" s="1049"/>
      <c r="AI75" s="1049"/>
      <c r="AJ75" s="1049"/>
      <c r="AK75" s="1049"/>
      <c r="AL75" s="1049"/>
      <c r="AM75" s="1049"/>
      <c r="AN75" s="1049"/>
      <c r="AO75" s="1037"/>
      <c r="AP75" s="1037"/>
      <c r="AQ75" s="1037"/>
      <c r="AR75" s="1037"/>
      <c r="AS75" s="1037"/>
      <c r="AT75" s="1037"/>
      <c r="AU75" s="1037"/>
      <c r="AV75" s="1037"/>
      <c r="AW75" s="1037"/>
      <c r="AX75" s="1037"/>
      <c r="AY75" s="1049"/>
      <c r="AZ75" s="1049"/>
      <c r="BA75" s="1049"/>
      <c r="BB75" s="1049"/>
      <c r="BC75" s="1049"/>
      <c r="BD75" s="1049"/>
      <c r="BE75" s="1049"/>
      <c r="BF75" s="1049"/>
      <c r="BG75" s="1049"/>
      <c r="BH75" s="1049"/>
      <c r="BI75" s="1049"/>
    </row>
    <row r="76" spans="1:61" x14ac:dyDescent="0.2">
      <c r="A76" s="1036">
        <v>3</v>
      </c>
      <c r="B76" s="1047"/>
      <c r="C76" s="1047"/>
      <c r="D76" s="1049"/>
      <c r="E76" s="1049"/>
      <c r="F76" s="1049"/>
      <c r="G76" s="1049"/>
      <c r="H76" s="1049"/>
      <c r="I76" s="1049"/>
      <c r="J76" s="1049"/>
      <c r="K76" s="1049"/>
      <c r="L76" s="1049"/>
      <c r="M76" s="1049"/>
      <c r="N76" s="1049"/>
      <c r="O76" s="1049"/>
      <c r="P76" s="1049"/>
      <c r="Q76" s="1049"/>
      <c r="R76" s="1049"/>
      <c r="S76" s="1049"/>
      <c r="T76" s="1049"/>
      <c r="U76" s="1049"/>
      <c r="V76" s="1049"/>
      <c r="W76" s="1049"/>
      <c r="X76" s="1049"/>
      <c r="Y76" s="1049"/>
      <c r="Z76" s="1049"/>
      <c r="AA76" s="1049"/>
      <c r="AB76" s="1049"/>
      <c r="AC76" s="1049"/>
      <c r="AD76" s="1049"/>
      <c r="AE76" s="1047"/>
      <c r="AF76" s="1047"/>
      <c r="AG76" s="1047"/>
      <c r="AH76" s="1047"/>
      <c r="AI76" s="1047"/>
      <c r="AJ76" s="1047"/>
      <c r="AK76" s="1047"/>
      <c r="AL76" s="1047"/>
      <c r="AM76" s="1047"/>
      <c r="AN76" s="1047"/>
      <c r="AO76" s="1037"/>
      <c r="AP76" s="1037"/>
      <c r="AQ76" s="1037"/>
      <c r="AR76" s="1037"/>
      <c r="AS76" s="1037"/>
      <c r="AT76" s="1037"/>
      <c r="AU76" s="1037"/>
      <c r="AV76" s="1037"/>
      <c r="AW76" s="1037"/>
      <c r="AX76" s="1037"/>
      <c r="AY76" s="1047"/>
      <c r="AZ76" s="1047"/>
      <c r="BA76" s="1047"/>
      <c r="BB76" s="1047"/>
      <c r="BC76" s="1047"/>
      <c r="BD76" s="1047"/>
      <c r="BE76" s="1047"/>
      <c r="BF76" s="1047"/>
      <c r="BG76" s="1047"/>
      <c r="BH76" s="1047"/>
      <c r="BI76" s="1047"/>
    </row>
    <row r="77" spans="1:61" x14ac:dyDescent="0.2">
      <c r="A77" s="1036"/>
      <c r="B77" s="1037"/>
      <c r="C77" s="1037"/>
      <c r="D77" s="1038"/>
      <c r="E77" s="1038"/>
      <c r="F77" s="1038"/>
      <c r="G77" s="1038"/>
      <c r="H77" s="1038"/>
      <c r="I77" s="1038"/>
      <c r="J77" s="1038"/>
      <c r="K77" s="1038"/>
      <c r="L77" s="1038"/>
      <c r="M77" s="1038"/>
      <c r="N77" s="1038"/>
      <c r="O77" s="1038"/>
      <c r="P77" s="1038"/>
      <c r="Q77" s="1038"/>
      <c r="R77" s="1038"/>
      <c r="S77" s="1038"/>
      <c r="T77" s="1038"/>
      <c r="U77" s="1038"/>
      <c r="V77" s="1038"/>
      <c r="W77" s="1038"/>
      <c r="X77" s="1038"/>
      <c r="Y77" s="1038"/>
      <c r="Z77" s="1038"/>
      <c r="AA77" s="1038"/>
      <c r="AB77" s="1038"/>
      <c r="AC77" s="1038"/>
      <c r="AD77" s="1038"/>
      <c r="AE77" s="1038"/>
      <c r="AF77" s="1038"/>
      <c r="AG77" s="1038"/>
      <c r="AH77" s="1038"/>
      <c r="AI77" s="1038"/>
      <c r="AJ77" s="1038"/>
      <c r="AK77" s="1038"/>
      <c r="AL77" s="1038"/>
      <c r="AM77" s="1038"/>
      <c r="AN77" s="1038"/>
      <c r="AO77" s="1102"/>
      <c r="AP77" s="1037"/>
      <c r="AQ77" s="1037"/>
      <c r="AR77" s="1037"/>
      <c r="AS77" s="1037"/>
      <c r="AT77" s="1037"/>
      <c r="AU77" s="1037"/>
      <c r="AV77" s="1037"/>
      <c r="AW77" s="1037"/>
      <c r="AX77" s="1037"/>
      <c r="AY77" s="1037"/>
      <c r="AZ77" s="1037"/>
      <c r="BA77" s="1037"/>
      <c r="BB77" s="1037"/>
      <c r="BC77" s="1037"/>
      <c r="BD77" s="1037"/>
      <c r="BE77" s="1037"/>
      <c r="BF77" s="1037"/>
      <c r="BG77" s="1037"/>
      <c r="BH77" s="1037"/>
      <c r="BI77" s="1037"/>
    </row>
    <row r="78" spans="1:61" x14ac:dyDescent="0.2">
      <c r="A78" s="1036"/>
      <c r="B78" s="1037"/>
      <c r="C78" s="1037"/>
      <c r="D78" s="1038"/>
      <c r="E78" s="1038"/>
      <c r="F78" s="1038"/>
      <c r="G78" s="1038"/>
      <c r="H78" s="1038"/>
      <c r="I78" s="1038"/>
      <c r="J78" s="1038"/>
      <c r="K78" s="1038"/>
      <c r="L78" s="1038"/>
      <c r="M78" s="1038"/>
      <c r="N78" s="1038"/>
      <c r="O78" s="1038"/>
      <c r="P78" s="1038"/>
      <c r="Q78" s="1038"/>
      <c r="R78" s="1038"/>
      <c r="S78" s="1038"/>
      <c r="T78" s="1038"/>
      <c r="U78" s="1038"/>
      <c r="V78" s="1038"/>
      <c r="W78" s="1038"/>
      <c r="X78" s="1038"/>
      <c r="Y78" s="1038"/>
      <c r="Z78" s="1038"/>
      <c r="AA78" s="1038"/>
      <c r="AB78" s="1038"/>
      <c r="AC78" s="1038"/>
      <c r="AD78" s="1038"/>
      <c r="AE78" s="1038"/>
      <c r="AF78" s="1038"/>
      <c r="AG78" s="1038"/>
      <c r="AH78" s="1038"/>
      <c r="AI78" s="1038"/>
      <c r="AJ78" s="1038"/>
      <c r="AK78" s="1038"/>
      <c r="AL78" s="1038"/>
      <c r="AM78" s="1038"/>
      <c r="AN78" s="1038"/>
      <c r="AO78" s="1102"/>
      <c r="AP78" s="1037"/>
      <c r="AQ78" s="1037"/>
      <c r="AR78" s="1037"/>
      <c r="AS78" s="1037"/>
      <c r="AT78" s="1037"/>
      <c r="AU78" s="1037"/>
      <c r="AV78" s="1037"/>
      <c r="AW78" s="1037"/>
      <c r="AX78" s="1037"/>
      <c r="AY78" s="1037"/>
      <c r="AZ78" s="1037"/>
      <c r="BA78" s="1037"/>
      <c r="BB78" s="1037"/>
      <c r="BC78" s="1037"/>
      <c r="BD78" s="1037"/>
      <c r="BE78" s="1037"/>
      <c r="BF78" s="1037"/>
      <c r="BG78" s="1037"/>
      <c r="BH78" s="1037"/>
      <c r="BI78" s="1037"/>
    </row>
    <row r="79" spans="1:61" x14ac:dyDescent="0.2">
      <c r="A79" s="1036"/>
      <c r="B79" s="1037"/>
      <c r="C79" s="1037"/>
      <c r="D79" s="1038"/>
      <c r="E79" s="1038"/>
      <c r="F79" s="1038"/>
      <c r="G79" s="1038"/>
      <c r="H79" s="1038"/>
      <c r="I79" s="1038"/>
      <c r="J79" s="1038"/>
      <c r="K79" s="1038"/>
      <c r="L79" s="1038"/>
      <c r="M79" s="1038"/>
      <c r="N79" s="1038"/>
      <c r="O79" s="1038"/>
      <c r="P79" s="1038"/>
      <c r="Q79" s="1038"/>
      <c r="R79" s="1038"/>
      <c r="S79" s="1038"/>
      <c r="T79" s="1038"/>
      <c r="U79" s="1038"/>
      <c r="V79" s="1038"/>
      <c r="W79" s="1038"/>
      <c r="X79" s="1038"/>
      <c r="Y79" s="1038"/>
      <c r="Z79" s="1038"/>
      <c r="AA79" s="1038"/>
      <c r="AB79" s="1038"/>
      <c r="AC79" s="1038"/>
      <c r="AD79" s="1038"/>
      <c r="AE79" s="1038"/>
      <c r="AF79" s="1038"/>
      <c r="AG79" s="1038"/>
      <c r="AH79" s="1038"/>
      <c r="AI79" s="1038"/>
      <c r="AJ79" s="1038"/>
      <c r="AK79" s="1038"/>
      <c r="AL79" s="1038"/>
      <c r="AM79" s="1038"/>
      <c r="AN79" s="1038"/>
      <c r="AO79" s="1102"/>
      <c r="AP79" s="1037"/>
      <c r="AQ79" s="1037"/>
      <c r="AR79" s="1037"/>
      <c r="AS79" s="1037"/>
      <c r="AT79" s="1037"/>
      <c r="AU79" s="1037"/>
      <c r="AV79" s="1037"/>
      <c r="AW79" s="1037"/>
      <c r="AX79" s="1037"/>
      <c r="AY79" s="1037"/>
      <c r="AZ79" s="1037"/>
      <c r="BA79" s="1037"/>
      <c r="BB79" s="1037"/>
      <c r="BC79" s="1037"/>
      <c r="BD79" s="1037"/>
      <c r="BE79" s="1037"/>
      <c r="BF79" s="1037"/>
      <c r="BG79" s="1037"/>
      <c r="BH79" s="1037"/>
      <c r="BI79" s="1037"/>
    </row>
    <row r="80" spans="1:61" x14ac:dyDescent="0.2">
      <c r="A80" s="1036"/>
      <c r="B80" s="1037"/>
      <c r="C80" s="1037"/>
      <c r="D80" s="1038"/>
      <c r="E80" s="1038"/>
      <c r="F80" s="1038"/>
      <c r="G80" s="1038"/>
      <c r="H80" s="1038"/>
      <c r="I80" s="1038"/>
      <c r="J80" s="1038"/>
      <c r="K80" s="1038"/>
      <c r="L80" s="1038"/>
      <c r="M80" s="1038"/>
      <c r="N80" s="1038"/>
      <c r="O80" s="1038"/>
      <c r="P80" s="1038"/>
      <c r="Q80" s="1038"/>
      <c r="R80" s="1038"/>
      <c r="S80" s="1038"/>
      <c r="T80" s="1038"/>
      <c r="U80" s="1038"/>
      <c r="V80" s="1038"/>
      <c r="W80" s="1038"/>
      <c r="X80" s="1038"/>
      <c r="Y80" s="1038"/>
      <c r="Z80" s="1038"/>
      <c r="AA80" s="1038"/>
      <c r="AB80" s="1038"/>
      <c r="AC80" s="1038"/>
      <c r="AD80" s="1038"/>
      <c r="AE80" s="1038"/>
      <c r="AF80" s="1038"/>
      <c r="AG80" s="1038"/>
      <c r="AH80" s="1038"/>
      <c r="AI80" s="1038"/>
      <c r="AJ80" s="1038"/>
      <c r="AK80" s="1038"/>
      <c r="AL80" s="1038"/>
      <c r="AM80" s="1038"/>
      <c r="AN80" s="1038"/>
      <c r="AO80" s="1102"/>
      <c r="AP80" s="1037"/>
      <c r="AQ80" s="1037"/>
      <c r="AR80" s="1037"/>
      <c r="AS80" s="1037"/>
      <c r="AT80" s="1037"/>
      <c r="AU80" s="1037"/>
      <c r="AV80" s="1037"/>
      <c r="AW80" s="1037"/>
      <c r="AX80" s="1037"/>
      <c r="AY80" s="1037"/>
      <c r="AZ80" s="1037"/>
      <c r="BA80" s="1037"/>
      <c r="BB80" s="1037"/>
      <c r="BC80" s="1037"/>
      <c r="BD80" s="1037"/>
      <c r="BE80" s="1037"/>
      <c r="BF80" s="1037"/>
      <c r="BG80" s="1037"/>
      <c r="BH80" s="1037"/>
      <c r="BI80" s="1037"/>
    </row>
    <row r="81" spans="1:61" x14ac:dyDescent="0.2">
      <c r="A81" s="1036"/>
      <c r="B81" s="1037"/>
      <c r="C81" s="1037"/>
      <c r="D81" s="1038"/>
      <c r="E81" s="1038"/>
      <c r="F81" s="1038"/>
      <c r="G81" s="1038"/>
      <c r="H81" s="1038"/>
      <c r="I81" s="1038"/>
      <c r="J81" s="1038"/>
      <c r="K81" s="1038"/>
      <c r="L81" s="1038"/>
      <c r="M81" s="1038"/>
      <c r="N81" s="1038"/>
      <c r="O81" s="1038"/>
      <c r="P81" s="1038"/>
      <c r="Q81" s="1038"/>
      <c r="R81" s="1038"/>
      <c r="S81" s="1038"/>
      <c r="T81" s="1038"/>
      <c r="U81" s="1038"/>
      <c r="V81" s="1038"/>
      <c r="W81" s="1038"/>
      <c r="X81" s="1038"/>
      <c r="Y81" s="1038"/>
      <c r="Z81" s="1038"/>
      <c r="AA81" s="1038"/>
      <c r="AB81" s="1038"/>
      <c r="AC81" s="1038"/>
      <c r="AD81" s="1038"/>
      <c r="AE81" s="1038"/>
      <c r="AF81" s="1038"/>
      <c r="AG81" s="1038"/>
      <c r="AH81" s="1038"/>
      <c r="AI81" s="1038"/>
      <c r="AJ81" s="1038"/>
      <c r="AK81" s="1038"/>
      <c r="AL81" s="1038"/>
      <c r="AM81" s="1038"/>
      <c r="AN81" s="1038"/>
      <c r="AO81" s="1102"/>
      <c r="AP81" s="1037"/>
      <c r="AQ81" s="1037"/>
      <c r="AR81" s="1037"/>
      <c r="AS81" s="1037"/>
      <c r="AT81" s="1037"/>
      <c r="AU81" s="1037"/>
      <c r="AV81" s="1037"/>
      <c r="AW81" s="1037"/>
      <c r="AX81" s="1037"/>
      <c r="AY81" s="1037"/>
      <c r="AZ81" s="1037"/>
      <c r="BA81" s="1037"/>
      <c r="BB81" s="1037"/>
      <c r="BC81" s="1037"/>
      <c r="BD81" s="1037"/>
      <c r="BE81" s="1037"/>
      <c r="BF81" s="1037"/>
      <c r="BG81" s="1037"/>
      <c r="BH81" s="1037"/>
      <c r="BI81" s="1037"/>
    </row>
    <row r="82" spans="1:61" x14ac:dyDescent="0.2">
      <c r="A82" s="1036"/>
      <c r="B82" s="1037"/>
      <c r="C82" s="1037"/>
      <c r="D82" s="1038"/>
      <c r="E82" s="1038"/>
      <c r="F82" s="1038"/>
      <c r="G82" s="1038"/>
      <c r="H82" s="1038"/>
      <c r="I82" s="1038"/>
      <c r="J82" s="1038"/>
      <c r="K82" s="1038"/>
      <c r="L82" s="1038"/>
      <c r="M82" s="1038"/>
      <c r="N82" s="1038"/>
      <c r="O82" s="1038"/>
      <c r="P82" s="1038"/>
      <c r="Q82" s="1038"/>
      <c r="R82" s="1038"/>
      <c r="S82" s="1038"/>
      <c r="T82" s="1038"/>
      <c r="U82" s="1038"/>
      <c r="V82" s="1038"/>
      <c r="W82" s="1038"/>
      <c r="X82" s="1038"/>
      <c r="Y82" s="1038"/>
      <c r="Z82" s="1038"/>
      <c r="AA82" s="1038"/>
      <c r="AB82" s="1038"/>
      <c r="AC82" s="1038"/>
      <c r="AD82" s="1038"/>
      <c r="AE82" s="1038"/>
      <c r="AF82" s="1038"/>
      <c r="AG82" s="1038"/>
      <c r="AH82" s="1038"/>
      <c r="AI82" s="1038"/>
      <c r="AJ82" s="1038"/>
      <c r="AK82" s="1038"/>
      <c r="AL82" s="1038"/>
      <c r="AM82" s="1038"/>
      <c r="AN82" s="1038"/>
      <c r="AO82" s="1102"/>
      <c r="AP82" s="1037"/>
      <c r="AQ82" s="1037"/>
      <c r="AR82" s="1037"/>
      <c r="AS82" s="1037"/>
      <c r="AT82" s="1037"/>
      <c r="AU82" s="1037"/>
      <c r="AV82" s="1037"/>
      <c r="AW82" s="1037"/>
      <c r="AX82" s="1037"/>
      <c r="AY82" s="1037"/>
      <c r="AZ82" s="1037"/>
      <c r="BA82" s="1037"/>
      <c r="BB82" s="1037"/>
      <c r="BC82" s="1037"/>
      <c r="BD82" s="1037"/>
      <c r="BE82" s="1037"/>
      <c r="BF82" s="1037"/>
      <c r="BG82" s="1037"/>
      <c r="BH82" s="1037"/>
      <c r="BI82" s="1037"/>
    </row>
    <row r="83" spans="1:61" x14ac:dyDescent="0.2">
      <c r="A83" s="1036"/>
      <c r="B83" s="1037"/>
      <c r="C83" s="1037"/>
      <c r="D83" s="1038"/>
      <c r="E83" s="1038"/>
      <c r="F83" s="1038"/>
      <c r="G83" s="1038"/>
      <c r="H83" s="1038"/>
      <c r="I83" s="1038"/>
      <c r="J83" s="1038"/>
      <c r="K83" s="1038"/>
      <c r="L83" s="1038"/>
      <c r="M83" s="1038"/>
      <c r="N83" s="1038"/>
      <c r="O83" s="1038"/>
      <c r="P83" s="1038"/>
      <c r="Q83" s="1038"/>
      <c r="R83" s="1038"/>
      <c r="S83" s="1038"/>
      <c r="T83" s="1038"/>
      <c r="U83" s="1038"/>
      <c r="V83" s="1038"/>
      <c r="W83" s="1038"/>
      <c r="X83" s="1038"/>
      <c r="Y83" s="1038"/>
      <c r="Z83" s="1038"/>
      <c r="AA83" s="1038"/>
      <c r="AB83" s="1038"/>
      <c r="AC83" s="1038"/>
      <c r="AD83" s="1038"/>
      <c r="AE83" s="1038"/>
      <c r="AF83" s="1038"/>
      <c r="AG83" s="1038"/>
      <c r="AH83" s="1038"/>
      <c r="AI83" s="1038"/>
      <c r="AJ83" s="1038"/>
      <c r="AK83" s="1038"/>
      <c r="AL83" s="1038"/>
      <c r="AM83" s="1038"/>
      <c r="AN83" s="1038"/>
      <c r="AO83" s="1102"/>
      <c r="AP83" s="1037"/>
      <c r="AQ83" s="1037"/>
      <c r="AR83" s="1037"/>
      <c r="AS83" s="1037"/>
      <c r="AT83" s="1037"/>
      <c r="AU83" s="1037"/>
      <c r="AV83" s="1037"/>
      <c r="AW83" s="1037"/>
      <c r="AX83" s="1037"/>
      <c r="AY83" s="1037"/>
      <c r="AZ83" s="1037"/>
      <c r="BA83" s="1037"/>
      <c r="BB83" s="1037"/>
      <c r="BC83" s="1037"/>
      <c r="BD83" s="1037"/>
      <c r="BE83" s="1037"/>
      <c r="BF83" s="1037"/>
      <c r="BG83" s="1037"/>
      <c r="BH83" s="1037"/>
      <c r="BI83" s="1037"/>
    </row>
    <row r="84" spans="1:61" x14ac:dyDescent="0.2">
      <c r="A84" s="1036"/>
      <c r="B84" s="1037"/>
      <c r="C84" s="1037"/>
      <c r="D84" s="1038"/>
      <c r="E84" s="1038"/>
      <c r="F84" s="1038"/>
      <c r="G84" s="1038"/>
      <c r="H84" s="1038"/>
      <c r="I84" s="1038"/>
      <c r="J84" s="1038"/>
      <c r="K84" s="1038"/>
      <c r="L84" s="1038"/>
      <c r="M84" s="1038"/>
      <c r="N84" s="1038"/>
      <c r="O84" s="1038"/>
      <c r="P84" s="1038"/>
      <c r="Q84" s="1038"/>
      <c r="R84" s="1038"/>
      <c r="S84" s="1038"/>
      <c r="T84" s="1038"/>
      <c r="U84" s="1038"/>
      <c r="V84" s="1038"/>
      <c r="W84" s="1038"/>
      <c r="X84" s="1038"/>
      <c r="Y84" s="1038"/>
      <c r="Z84" s="1038"/>
      <c r="AA84" s="1038"/>
      <c r="AB84" s="1038"/>
      <c r="AC84" s="1038"/>
      <c r="AD84" s="1038"/>
      <c r="AE84" s="1038"/>
      <c r="AF84" s="1038"/>
      <c r="AG84" s="1038"/>
      <c r="AH84" s="1038"/>
      <c r="AI84" s="1038"/>
      <c r="AJ84" s="1038"/>
      <c r="AK84" s="1038"/>
      <c r="AL84" s="1038"/>
      <c r="AM84" s="1038"/>
      <c r="AN84" s="1038"/>
      <c r="AO84" s="1102"/>
      <c r="AP84" s="1037"/>
      <c r="AQ84" s="1037"/>
      <c r="AR84" s="1037"/>
      <c r="AS84" s="1037"/>
      <c r="AT84" s="1037"/>
      <c r="AU84" s="1037"/>
      <c r="AV84" s="1037"/>
      <c r="AW84" s="1037"/>
      <c r="AX84" s="1037"/>
      <c r="AY84" s="1037"/>
      <c r="AZ84" s="1037"/>
      <c r="BA84" s="1037"/>
      <c r="BB84" s="1037"/>
      <c r="BC84" s="1037"/>
      <c r="BD84" s="1037"/>
      <c r="BE84" s="1037"/>
      <c r="BF84" s="1037"/>
      <c r="BG84" s="1037"/>
      <c r="BH84" s="1037"/>
      <c r="BI84" s="1037"/>
    </row>
    <row r="85" spans="1:61" x14ac:dyDescent="0.2">
      <c r="A85" s="1036"/>
      <c r="B85" s="1037"/>
      <c r="C85" s="1037"/>
      <c r="D85" s="1038"/>
      <c r="E85" s="1038"/>
      <c r="F85" s="1038"/>
      <c r="G85" s="1038"/>
      <c r="H85" s="1038"/>
      <c r="I85" s="1038"/>
      <c r="J85" s="1038"/>
      <c r="K85" s="1038"/>
      <c r="L85" s="1038"/>
      <c r="M85" s="1038"/>
      <c r="N85" s="1038"/>
      <c r="O85" s="1038"/>
      <c r="P85" s="1038"/>
      <c r="Q85" s="1038"/>
      <c r="R85" s="1038"/>
      <c r="S85" s="1038"/>
      <c r="T85" s="1038"/>
      <c r="U85" s="1038"/>
      <c r="V85" s="1038"/>
      <c r="W85" s="1038"/>
      <c r="X85" s="1038"/>
      <c r="Y85" s="1038"/>
      <c r="Z85" s="1038"/>
      <c r="AA85" s="1038"/>
      <c r="AB85" s="1038"/>
      <c r="AC85" s="1038"/>
      <c r="AD85" s="1038"/>
      <c r="AE85" s="1038"/>
      <c r="AF85" s="1038"/>
      <c r="AG85" s="1038"/>
      <c r="AH85" s="1038"/>
      <c r="AI85" s="1038"/>
      <c r="AJ85" s="1038"/>
      <c r="AK85" s="1038"/>
      <c r="AL85" s="1038"/>
      <c r="AM85" s="1038"/>
      <c r="AN85" s="1038"/>
      <c r="AO85" s="1102"/>
      <c r="AP85" s="1037"/>
      <c r="AQ85" s="1037"/>
      <c r="AR85" s="1037"/>
      <c r="AS85" s="1037"/>
      <c r="AT85" s="1037"/>
      <c r="AU85" s="1037"/>
      <c r="AV85" s="1037"/>
      <c r="AW85" s="1037"/>
      <c r="AX85" s="1037"/>
      <c r="AY85" s="1037"/>
      <c r="AZ85" s="1037"/>
      <c r="BA85" s="1037"/>
      <c r="BB85" s="1037"/>
      <c r="BC85" s="1037"/>
      <c r="BD85" s="1037"/>
      <c r="BE85" s="1037"/>
      <c r="BF85" s="1037"/>
      <c r="BG85" s="1037"/>
      <c r="BH85" s="1037"/>
      <c r="BI85" s="1037"/>
    </row>
    <row r="86" spans="1:61" x14ac:dyDescent="0.2">
      <c r="A86" s="1036"/>
      <c r="B86" s="1037"/>
      <c r="C86" s="1037"/>
      <c r="D86" s="1038"/>
      <c r="E86" s="1038"/>
      <c r="F86" s="1038"/>
      <c r="G86" s="1038"/>
      <c r="H86" s="1038"/>
      <c r="I86" s="1038"/>
      <c r="J86" s="1038"/>
      <c r="K86" s="1038"/>
      <c r="L86" s="1038"/>
      <c r="M86" s="1038"/>
      <c r="N86" s="1038"/>
      <c r="O86" s="1038"/>
      <c r="P86" s="1038"/>
      <c r="Q86" s="1038"/>
      <c r="R86" s="1038"/>
      <c r="S86" s="1038"/>
      <c r="T86" s="1038"/>
      <c r="U86" s="1038"/>
      <c r="V86" s="1038"/>
      <c r="W86" s="1038"/>
      <c r="X86" s="1038"/>
      <c r="Y86" s="1038"/>
      <c r="Z86" s="1038"/>
      <c r="AA86" s="1038"/>
      <c r="AB86" s="1038"/>
      <c r="AC86" s="1038"/>
      <c r="AD86" s="1038"/>
      <c r="AE86" s="1038"/>
      <c r="AF86" s="1038"/>
      <c r="AG86" s="1038"/>
      <c r="AH86" s="1038"/>
      <c r="AI86" s="1038"/>
      <c r="AJ86" s="1038"/>
      <c r="AK86" s="1038"/>
      <c r="AL86" s="1038"/>
      <c r="AM86" s="1038"/>
      <c r="AN86" s="1038"/>
      <c r="AO86" s="1102"/>
      <c r="AP86" s="1037"/>
      <c r="AQ86" s="1037"/>
      <c r="AR86" s="1037"/>
      <c r="AS86" s="1037"/>
      <c r="AT86" s="1037"/>
      <c r="AU86" s="1037"/>
      <c r="AV86" s="1037"/>
      <c r="AW86" s="1037"/>
      <c r="AX86" s="1037"/>
      <c r="AY86" s="1037"/>
      <c r="AZ86" s="1037"/>
      <c r="BA86" s="1037"/>
      <c r="BB86" s="1037"/>
      <c r="BC86" s="1037"/>
      <c r="BD86" s="1037"/>
      <c r="BE86" s="1037"/>
      <c r="BF86" s="1037"/>
      <c r="BG86" s="1037"/>
      <c r="BH86" s="1037"/>
      <c r="BI86" s="1037"/>
    </row>
  </sheetData>
  <sheetProtection algorithmName="SHA-512" hashValue="PlYx5UzsFCyOWzaZS56K0Qmjhl1JfolYNf/3ghmmTWZQeZFUxjcw4Fnj7CgNSYILAya0KH/jwmBZ8HnX7sgvIQ==" saltValue="H17RKty30WGhW5wFB02FZg==" spinCount="100000" sheet="1" objects="1" scenarios="1"/>
  <customSheetViews>
    <customSheetView guid="{2DEE39A3-88C5-4D7F-AEB9-0B43FD431165}" scale="80" showGridLines="0" zeroValues="0" fitToPage="1" hiddenColumns="1">
      <selection activeCell="AP46" sqref="AP46"/>
      <pageMargins left="0.19685039370078741" right="0.19685039370078741" top="0.74803149606299213" bottom="0.35433070866141736" header="0.31496062992125984" footer="0.11811023622047245"/>
      <printOptions horizontalCentered="1"/>
      <pageSetup paperSize="9" scale="61" orientation="landscape" r:id="rId1"/>
      <headerFooter>
        <oddFooter>&amp;L&amp;F&amp;A&amp;R&amp;D  &amp;T</oddFooter>
      </headerFooter>
    </customSheetView>
    <customSheetView guid="{117F828A-4542-4D18-9CDB-B606529AAD66}" scale="80" showGridLines="0" showRowCol="0" zeroValues="0" fitToPage="1" hiddenRows="1" hiddenColumns="1">
      <selection activeCell="AL3" sqref="AL3"/>
      <pageMargins left="0.19685039370078741" right="0.19685039370078741" top="0.74803149606299213" bottom="0.35433070866141736" header="0.31496062992125984" footer="0.11811023622047245"/>
      <printOptions horizontalCentered="1"/>
      <pageSetup paperSize="9" scale="65" orientation="landscape" r:id="rId2"/>
      <headerFooter>
        <oddFooter>&amp;L&amp;F&amp;A&amp;R&amp;D  &amp;T</oddFooter>
      </headerFooter>
    </customSheetView>
  </customSheetViews>
  <mergeCells count="16">
    <mergeCell ref="BE40:BF40"/>
    <mergeCell ref="BG40:BH40"/>
    <mergeCell ref="AZ39:BH39"/>
    <mergeCell ref="B25:C25"/>
    <mergeCell ref="BI2:BI3"/>
    <mergeCell ref="B2:C2"/>
    <mergeCell ref="B3:C3"/>
    <mergeCell ref="AZ2:AZ3"/>
    <mergeCell ref="BA2:BA3"/>
    <mergeCell ref="BB2:BB3"/>
    <mergeCell ref="BC2:BC3"/>
    <mergeCell ref="BD2:BD3"/>
    <mergeCell ref="BE2:BE3"/>
    <mergeCell ref="BF2:BF3"/>
    <mergeCell ref="BG2:BG3"/>
    <mergeCell ref="BH2:BH3"/>
  </mergeCells>
  <conditionalFormatting sqref="AE3:AM3">
    <cfRule type="containsText" dxfId="8" priority="11" operator="containsText" text="FM">
      <formula>NOT(ISERROR(SEARCH("FM",AE3)))</formula>
    </cfRule>
  </conditionalFormatting>
  <printOptions horizontalCentered="1"/>
  <pageMargins left="0.19685039370078741" right="0.19685039370078741" top="0.74803149606299213" bottom="0.35433070866141736" header="0.31496062992125984" footer="0.11811023622047245"/>
  <pageSetup paperSize="9" scale="53" orientation="landscape" r:id="rId3"/>
  <headerFooter>
    <oddFooter>&amp;L&amp;F&amp;A&amp;R&amp;D  &amp;T</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9217" r:id="rId6" name="Drop Down 1">
              <controlPr locked="0" defaultSize="0" print="0" autoFill="0" autoLine="0" autoPict="0">
                <anchor moveWithCells="1">
                  <from>
                    <xdr:col>1</xdr:col>
                    <xdr:colOff>0</xdr:colOff>
                    <xdr:row>3</xdr:row>
                    <xdr:rowOff>9525</xdr:rowOff>
                  </from>
                  <to>
                    <xdr:col>3</xdr:col>
                    <xdr:colOff>0</xdr:colOff>
                    <xdr:row>4</xdr:row>
                    <xdr:rowOff>28575</xdr:rowOff>
                  </to>
                </anchor>
              </controlPr>
            </control>
          </mc:Choice>
        </mc:AlternateContent>
        <mc:AlternateContent xmlns:mc="http://schemas.openxmlformats.org/markup-compatibility/2006">
          <mc:Choice Requires="x14">
            <control shapeId="9218" r:id="rId7" name="Drop Down 2">
              <controlPr locked="0" defaultSize="0" print="0" autoFill="0" autoLine="0" autoPict="0">
                <anchor moveWithCells="1">
                  <from>
                    <xdr:col>1</xdr:col>
                    <xdr:colOff>0</xdr:colOff>
                    <xdr:row>6</xdr:row>
                    <xdr:rowOff>9525</xdr:rowOff>
                  </from>
                  <to>
                    <xdr:col>3</xdr:col>
                    <xdr:colOff>0</xdr:colOff>
                    <xdr:row>7</xdr:row>
                    <xdr:rowOff>28575</xdr:rowOff>
                  </to>
                </anchor>
              </controlPr>
            </control>
          </mc:Choice>
        </mc:AlternateContent>
        <mc:AlternateContent xmlns:mc="http://schemas.openxmlformats.org/markup-compatibility/2006">
          <mc:Choice Requires="x14">
            <control shapeId="9219" r:id="rId8" name="Drop Down 3">
              <controlPr locked="0" defaultSize="0" print="0" autoFill="0" autoLine="0" autoPict="0">
                <anchor moveWithCells="1">
                  <from>
                    <xdr:col>1</xdr:col>
                    <xdr:colOff>0</xdr:colOff>
                    <xdr:row>7</xdr:row>
                    <xdr:rowOff>9525</xdr:rowOff>
                  </from>
                  <to>
                    <xdr:col>3</xdr:col>
                    <xdr:colOff>0</xdr:colOff>
                    <xdr:row>8</xdr:row>
                    <xdr:rowOff>28575</xdr:rowOff>
                  </to>
                </anchor>
              </controlPr>
            </control>
          </mc:Choice>
        </mc:AlternateContent>
        <mc:AlternateContent xmlns:mc="http://schemas.openxmlformats.org/markup-compatibility/2006">
          <mc:Choice Requires="x14">
            <control shapeId="9220" r:id="rId9" name="Drop Down 4">
              <controlPr locked="0" defaultSize="0" print="0" autoFill="0" autoLine="0" autoPict="0">
                <anchor moveWithCells="1">
                  <from>
                    <xdr:col>1</xdr:col>
                    <xdr:colOff>0</xdr:colOff>
                    <xdr:row>8</xdr:row>
                    <xdr:rowOff>9525</xdr:rowOff>
                  </from>
                  <to>
                    <xdr:col>3</xdr:col>
                    <xdr:colOff>0</xdr:colOff>
                    <xdr:row>9</xdr:row>
                    <xdr:rowOff>28575</xdr:rowOff>
                  </to>
                </anchor>
              </controlPr>
            </control>
          </mc:Choice>
        </mc:AlternateContent>
        <mc:AlternateContent xmlns:mc="http://schemas.openxmlformats.org/markup-compatibility/2006">
          <mc:Choice Requires="x14">
            <control shapeId="9221" r:id="rId10" name="Drop Down 5">
              <controlPr locked="0" defaultSize="0" print="0" autoFill="0" autoLine="0" autoPict="0">
                <anchor moveWithCells="1">
                  <from>
                    <xdr:col>1</xdr:col>
                    <xdr:colOff>0</xdr:colOff>
                    <xdr:row>9</xdr:row>
                    <xdr:rowOff>9525</xdr:rowOff>
                  </from>
                  <to>
                    <xdr:col>3</xdr:col>
                    <xdr:colOff>0</xdr:colOff>
                    <xdr:row>10</xdr:row>
                    <xdr:rowOff>28575</xdr:rowOff>
                  </to>
                </anchor>
              </controlPr>
            </control>
          </mc:Choice>
        </mc:AlternateContent>
        <mc:AlternateContent xmlns:mc="http://schemas.openxmlformats.org/markup-compatibility/2006">
          <mc:Choice Requires="x14">
            <control shapeId="9222" r:id="rId11" name="Drop Down 6">
              <controlPr locked="0" defaultSize="0" print="0" autoFill="0" autoLine="0" autoPict="0">
                <anchor moveWithCells="1">
                  <from>
                    <xdr:col>1</xdr:col>
                    <xdr:colOff>0</xdr:colOff>
                    <xdr:row>10</xdr:row>
                    <xdr:rowOff>9525</xdr:rowOff>
                  </from>
                  <to>
                    <xdr:col>3</xdr:col>
                    <xdr:colOff>0</xdr:colOff>
                    <xdr:row>11</xdr:row>
                    <xdr:rowOff>28575</xdr:rowOff>
                  </to>
                </anchor>
              </controlPr>
            </control>
          </mc:Choice>
        </mc:AlternateContent>
        <mc:AlternateContent xmlns:mc="http://schemas.openxmlformats.org/markup-compatibility/2006">
          <mc:Choice Requires="x14">
            <control shapeId="9223" r:id="rId12" name="Drop Down 7">
              <controlPr locked="0" defaultSize="0" print="0" autoFill="0" autoLine="0" autoPict="0">
                <anchor moveWithCells="1">
                  <from>
                    <xdr:col>1</xdr:col>
                    <xdr:colOff>0</xdr:colOff>
                    <xdr:row>11</xdr:row>
                    <xdr:rowOff>9525</xdr:rowOff>
                  </from>
                  <to>
                    <xdr:col>3</xdr:col>
                    <xdr:colOff>0</xdr:colOff>
                    <xdr:row>12</xdr:row>
                    <xdr:rowOff>28575</xdr:rowOff>
                  </to>
                </anchor>
              </controlPr>
            </control>
          </mc:Choice>
        </mc:AlternateContent>
        <mc:AlternateContent xmlns:mc="http://schemas.openxmlformats.org/markup-compatibility/2006">
          <mc:Choice Requires="x14">
            <control shapeId="9224" r:id="rId13" name="Drop Down 8">
              <controlPr locked="0" defaultSize="0" print="0" autoFill="0" autoLine="0" autoPict="0">
                <anchor moveWithCells="1">
                  <from>
                    <xdr:col>1</xdr:col>
                    <xdr:colOff>0</xdr:colOff>
                    <xdr:row>12</xdr:row>
                    <xdr:rowOff>9525</xdr:rowOff>
                  </from>
                  <to>
                    <xdr:col>3</xdr:col>
                    <xdr:colOff>0</xdr:colOff>
                    <xdr:row>13</xdr:row>
                    <xdr:rowOff>28575</xdr:rowOff>
                  </to>
                </anchor>
              </controlPr>
            </control>
          </mc:Choice>
        </mc:AlternateContent>
        <mc:AlternateContent xmlns:mc="http://schemas.openxmlformats.org/markup-compatibility/2006">
          <mc:Choice Requires="x14">
            <control shapeId="9225" r:id="rId14" name="Drop Down 9">
              <controlPr locked="0" defaultSize="0" print="0" autoFill="0" autoLine="0" autoPict="0">
                <anchor moveWithCells="1">
                  <from>
                    <xdr:col>1</xdr:col>
                    <xdr:colOff>0</xdr:colOff>
                    <xdr:row>13</xdr:row>
                    <xdr:rowOff>9525</xdr:rowOff>
                  </from>
                  <to>
                    <xdr:col>3</xdr:col>
                    <xdr:colOff>0</xdr:colOff>
                    <xdr:row>14</xdr:row>
                    <xdr:rowOff>28575</xdr:rowOff>
                  </to>
                </anchor>
              </controlPr>
            </control>
          </mc:Choice>
        </mc:AlternateContent>
        <mc:AlternateContent xmlns:mc="http://schemas.openxmlformats.org/markup-compatibility/2006">
          <mc:Choice Requires="x14">
            <control shapeId="9226" r:id="rId15" name="Drop Down 10">
              <controlPr locked="0" defaultSize="0" print="0" autoFill="0" autoLine="0" autoPict="0">
                <anchor moveWithCells="1">
                  <from>
                    <xdr:col>1</xdr:col>
                    <xdr:colOff>0</xdr:colOff>
                    <xdr:row>14</xdr:row>
                    <xdr:rowOff>9525</xdr:rowOff>
                  </from>
                  <to>
                    <xdr:col>3</xdr:col>
                    <xdr:colOff>0</xdr:colOff>
                    <xdr:row>15</xdr:row>
                    <xdr:rowOff>28575</xdr:rowOff>
                  </to>
                </anchor>
              </controlPr>
            </control>
          </mc:Choice>
        </mc:AlternateContent>
        <mc:AlternateContent xmlns:mc="http://schemas.openxmlformats.org/markup-compatibility/2006">
          <mc:Choice Requires="x14">
            <control shapeId="9227" r:id="rId16" name="Drop Down 11">
              <controlPr locked="0" defaultSize="0" print="0" autoFill="0" autoLine="0" autoPict="0">
                <anchor moveWithCells="1">
                  <from>
                    <xdr:col>1</xdr:col>
                    <xdr:colOff>0</xdr:colOff>
                    <xdr:row>15</xdr:row>
                    <xdr:rowOff>9525</xdr:rowOff>
                  </from>
                  <to>
                    <xdr:col>3</xdr:col>
                    <xdr:colOff>0</xdr:colOff>
                    <xdr:row>16</xdr:row>
                    <xdr:rowOff>28575</xdr:rowOff>
                  </to>
                </anchor>
              </controlPr>
            </control>
          </mc:Choice>
        </mc:AlternateContent>
        <mc:AlternateContent xmlns:mc="http://schemas.openxmlformats.org/markup-compatibility/2006">
          <mc:Choice Requires="x14">
            <control shapeId="9228" r:id="rId17" name="Drop Down 12">
              <controlPr locked="0" defaultSize="0" print="0" autoFill="0" autoLine="0" autoPict="0">
                <anchor moveWithCells="1">
                  <from>
                    <xdr:col>1</xdr:col>
                    <xdr:colOff>0</xdr:colOff>
                    <xdr:row>16</xdr:row>
                    <xdr:rowOff>9525</xdr:rowOff>
                  </from>
                  <to>
                    <xdr:col>3</xdr:col>
                    <xdr:colOff>0</xdr:colOff>
                    <xdr:row>17</xdr:row>
                    <xdr:rowOff>28575</xdr:rowOff>
                  </to>
                </anchor>
              </controlPr>
            </control>
          </mc:Choice>
        </mc:AlternateContent>
        <mc:AlternateContent xmlns:mc="http://schemas.openxmlformats.org/markup-compatibility/2006">
          <mc:Choice Requires="x14">
            <control shapeId="9229" r:id="rId18" name="Drop Down 13">
              <controlPr locked="0" defaultSize="0" print="0" autoFill="0" autoLine="0" autoPict="0">
                <anchor moveWithCells="1">
                  <from>
                    <xdr:col>1</xdr:col>
                    <xdr:colOff>0</xdr:colOff>
                    <xdr:row>17</xdr:row>
                    <xdr:rowOff>9525</xdr:rowOff>
                  </from>
                  <to>
                    <xdr:col>2</xdr:col>
                    <xdr:colOff>1781175</xdr:colOff>
                    <xdr:row>18</xdr:row>
                    <xdr:rowOff>47625</xdr:rowOff>
                  </to>
                </anchor>
              </controlPr>
            </control>
          </mc:Choice>
        </mc:AlternateContent>
        <mc:AlternateContent xmlns:mc="http://schemas.openxmlformats.org/markup-compatibility/2006">
          <mc:Choice Requires="x14">
            <control shapeId="9230" r:id="rId19" name="Drop Down 14">
              <controlPr locked="0" defaultSize="0" print="0" autoFill="0" autoLine="0" autoPict="0">
                <anchor moveWithCells="1">
                  <from>
                    <xdr:col>1</xdr:col>
                    <xdr:colOff>0</xdr:colOff>
                    <xdr:row>17</xdr:row>
                    <xdr:rowOff>9525</xdr:rowOff>
                  </from>
                  <to>
                    <xdr:col>3</xdr:col>
                    <xdr:colOff>0</xdr:colOff>
                    <xdr:row>18</xdr:row>
                    <xdr:rowOff>28575</xdr:rowOff>
                  </to>
                </anchor>
              </controlPr>
            </control>
          </mc:Choice>
        </mc:AlternateContent>
        <mc:AlternateContent xmlns:mc="http://schemas.openxmlformats.org/markup-compatibility/2006">
          <mc:Choice Requires="x14">
            <control shapeId="9231" r:id="rId20" name="Drop Down 15">
              <controlPr locked="0" defaultSize="0" print="0" autoFill="0" autoLine="0" autoPict="0">
                <anchor moveWithCells="1">
                  <from>
                    <xdr:col>1</xdr:col>
                    <xdr:colOff>0</xdr:colOff>
                    <xdr:row>18</xdr:row>
                    <xdr:rowOff>9525</xdr:rowOff>
                  </from>
                  <to>
                    <xdr:col>2</xdr:col>
                    <xdr:colOff>1781175</xdr:colOff>
                    <xdr:row>19</xdr:row>
                    <xdr:rowOff>47625</xdr:rowOff>
                  </to>
                </anchor>
              </controlPr>
            </control>
          </mc:Choice>
        </mc:AlternateContent>
        <mc:AlternateContent xmlns:mc="http://schemas.openxmlformats.org/markup-compatibility/2006">
          <mc:Choice Requires="x14">
            <control shapeId="9232" r:id="rId21" name="Drop Down 16">
              <controlPr locked="0" defaultSize="0" print="0" autoFill="0" autoLine="0" autoPict="0">
                <anchor moveWithCells="1">
                  <from>
                    <xdr:col>1</xdr:col>
                    <xdr:colOff>0</xdr:colOff>
                    <xdr:row>18</xdr:row>
                    <xdr:rowOff>9525</xdr:rowOff>
                  </from>
                  <to>
                    <xdr:col>3</xdr:col>
                    <xdr:colOff>0</xdr:colOff>
                    <xdr:row>19</xdr:row>
                    <xdr:rowOff>28575</xdr:rowOff>
                  </to>
                </anchor>
              </controlPr>
            </control>
          </mc:Choice>
        </mc:AlternateContent>
        <mc:AlternateContent xmlns:mc="http://schemas.openxmlformats.org/markup-compatibility/2006">
          <mc:Choice Requires="x14">
            <control shapeId="9233" r:id="rId22" name="Drop Down 17">
              <controlPr locked="0" defaultSize="0" print="0" autoFill="0" autoLine="0" autoPict="0">
                <anchor moveWithCells="1">
                  <from>
                    <xdr:col>1</xdr:col>
                    <xdr:colOff>0</xdr:colOff>
                    <xdr:row>19</xdr:row>
                    <xdr:rowOff>9525</xdr:rowOff>
                  </from>
                  <to>
                    <xdr:col>2</xdr:col>
                    <xdr:colOff>1781175</xdr:colOff>
                    <xdr:row>20</xdr:row>
                    <xdr:rowOff>47625</xdr:rowOff>
                  </to>
                </anchor>
              </controlPr>
            </control>
          </mc:Choice>
        </mc:AlternateContent>
        <mc:AlternateContent xmlns:mc="http://schemas.openxmlformats.org/markup-compatibility/2006">
          <mc:Choice Requires="x14">
            <control shapeId="9234" r:id="rId23" name="Drop Down 18">
              <controlPr locked="0" defaultSize="0" print="0" autoFill="0" autoLine="0" autoPict="0">
                <anchor moveWithCells="1">
                  <from>
                    <xdr:col>1</xdr:col>
                    <xdr:colOff>0</xdr:colOff>
                    <xdr:row>19</xdr:row>
                    <xdr:rowOff>9525</xdr:rowOff>
                  </from>
                  <to>
                    <xdr:col>3</xdr:col>
                    <xdr:colOff>0</xdr:colOff>
                    <xdr:row>20</xdr:row>
                    <xdr:rowOff>28575</xdr:rowOff>
                  </to>
                </anchor>
              </controlPr>
            </control>
          </mc:Choice>
        </mc:AlternateContent>
        <mc:AlternateContent xmlns:mc="http://schemas.openxmlformats.org/markup-compatibility/2006">
          <mc:Choice Requires="x14">
            <control shapeId="9235" r:id="rId24" name="Drop Down 19">
              <controlPr locked="0" defaultSize="0" print="0" autoFill="0" autoLine="0" autoPict="0">
                <anchor moveWithCells="1">
                  <from>
                    <xdr:col>1</xdr:col>
                    <xdr:colOff>0</xdr:colOff>
                    <xdr:row>20</xdr:row>
                    <xdr:rowOff>9525</xdr:rowOff>
                  </from>
                  <to>
                    <xdr:col>2</xdr:col>
                    <xdr:colOff>1781175</xdr:colOff>
                    <xdr:row>21</xdr:row>
                    <xdr:rowOff>47625</xdr:rowOff>
                  </to>
                </anchor>
              </controlPr>
            </control>
          </mc:Choice>
        </mc:AlternateContent>
        <mc:AlternateContent xmlns:mc="http://schemas.openxmlformats.org/markup-compatibility/2006">
          <mc:Choice Requires="x14">
            <control shapeId="9236" r:id="rId25" name="Drop Down 20">
              <controlPr locked="0" defaultSize="0" print="0" autoFill="0" autoLine="0" autoPict="0">
                <anchor moveWithCells="1">
                  <from>
                    <xdr:col>1</xdr:col>
                    <xdr:colOff>0</xdr:colOff>
                    <xdr:row>20</xdr:row>
                    <xdr:rowOff>9525</xdr:rowOff>
                  </from>
                  <to>
                    <xdr:col>3</xdr:col>
                    <xdr:colOff>0</xdr:colOff>
                    <xdr:row>21</xdr:row>
                    <xdr:rowOff>28575</xdr:rowOff>
                  </to>
                </anchor>
              </controlPr>
            </control>
          </mc:Choice>
        </mc:AlternateContent>
        <mc:AlternateContent xmlns:mc="http://schemas.openxmlformats.org/markup-compatibility/2006">
          <mc:Choice Requires="x14">
            <control shapeId="9237" r:id="rId26" name="Drop Down 21">
              <controlPr locked="0" defaultSize="0" print="0" autoFill="0" autoLine="0" autoPict="0">
                <anchor moveWithCells="1">
                  <from>
                    <xdr:col>1</xdr:col>
                    <xdr:colOff>0</xdr:colOff>
                    <xdr:row>21</xdr:row>
                    <xdr:rowOff>9525</xdr:rowOff>
                  </from>
                  <to>
                    <xdr:col>2</xdr:col>
                    <xdr:colOff>1781175</xdr:colOff>
                    <xdr:row>22</xdr:row>
                    <xdr:rowOff>47625</xdr:rowOff>
                  </to>
                </anchor>
              </controlPr>
            </control>
          </mc:Choice>
        </mc:AlternateContent>
        <mc:AlternateContent xmlns:mc="http://schemas.openxmlformats.org/markup-compatibility/2006">
          <mc:Choice Requires="x14">
            <control shapeId="9238" r:id="rId27" name="Drop Down 22">
              <controlPr locked="0" defaultSize="0" print="0" autoFill="0" autoLine="0" autoPict="0">
                <anchor moveWithCells="1">
                  <from>
                    <xdr:col>1</xdr:col>
                    <xdr:colOff>0</xdr:colOff>
                    <xdr:row>21</xdr:row>
                    <xdr:rowOff>9525</xdr:rowOff>
                  </from>
                  <to>
                    <xdr:col>2</xdr:col>
                    <xdr:colOff>1781175</xdr:colOff>
                    <xdr:row>22</xdr:row>
                    <xdr:rowOff>47625</xdr:rowOff>
                  </to>
                </anchor>
              </controlPr>
            </control>
          </mc:Choice>
        </mc:AlternateContent>
        <mc:AlternateContent xmlns:mc="http://schemas.openxmlformats.org/markup-compatibility/2006">
          <mc:Choice Requires="x14">
            <control shapeId="9240" r:id="rId28" name="Drop Down 24">
              <controlPr locked="0" defaultSize="0" print="0" autoFill="0" autoLine="0" autoPict="0">
                <anchor moveWithCells="1">
                  <from>
                    <xdr:col>1</xdr:col>
                    <xdr:colOff>0</xdr:colOff>
                    <xdr:row>4</xdr:row>
                    <xdr:rowOff>9525</xdr:rowOff>
                  </from>
                  <to>
                    <xdr:col>3</xdr:col>
                    <xdr:colOff>0</xdr:colOff>
                    <xdr:row>5</xdr:row>
                    <xdr:rowOff>28575</xdr:rowOff>
                  </to>
                </anchor>
              </controlPr>
            </control>
          </mc:Choice>
        </mc:AlternateContent>
        <mc:AlternateContent xmlns:mc="http://schemas.openxmlformats.org/markup-compatibility/2006">
          <mc:Choice Requires="x14">
            <control shapeId="9241" r:id="rId29" name="Drop Down 25">
              <controlPr locked="0" defaultSize="0" print="0" autoFill="0" autoLine="0" autoPict="0">
                <anchor moveWithCells="1">
                  <from>
                    <xdr:col>1</xdr:col>
                    <xdr:colOff>0</xdr:colOff>
                    <xdr:row>5</xdr:row>
                    <xdr:rowOff>9525</xdr:rowOff>
                  </from>
                  <to>
                    <xdr:col>3</xdr:col>
                    <xdr:colOff>0</xdr:colOff>
                    <xdr:row>6</xdr:row>
                    <xdr:rowOff>28575</xdr:rowOff>
                  </to>
                </anchor>
              </controlPr>
            </control>
          </mc:Choice>
        </mc:AlternateContent>
        <mc:AlternateContent xmlns:mc="http://schemas.openxmlformats.org/markup-compatibility/2006">
          <mc:Choice Requires="x14">
            <control shapeId="9242" r:id="rId30" name="Drop Down 26">
              <controlPr locked="0" defaultSize="0" print="0" autoFill="0" autoLine="0" autoPict="0">
                <anchor moveWithCells="1">
                  <from>
                    <xdr:col>1</xdr:col>
                    <xdr:colOff>0</xdr:colOff>
                    <xdr:row>21</xdr:row>
                    <xdr:rowOff>9525</xdr:rowOff>
                  </from>
                  <to>
                    <xdr:col>2</xdr:col>
                    <xdr:colOff>1781175</xdr:colOff>
                    <xdr:row>22</xdr:row>
                    <xdr:rowOff>47625</xdr:rowOff>
                  </to>
                </anchor>
              </controlPr>
            </control>
          </mc:Choice>
        </mc:AlternateContent>
        <mc:AlternateContent xmlns:mc="http://schemas.openxmlformats.org/markup-compatibility/2006">
          <mc:Choice Requires="x14">
            <control shapeId="9243" r:id="rId31" name="Drop Down 27">
              <controlPr locked="0" defaultSize="0" print="0" autoFill="0" autoLine="0" autoPict="0">
                <anchor moveWithCells="1">
                  <from>
                    <xdr:col>1</xdr:col>
                    <xdr:colOff>0</xdr:colOff>
                    <xdr:row>21</xdr:row>
                    <xdr:rowOff>9525</xdr:rowOff>
                  </from>
                  <to>
                    <xdr:col>3</xdr:col>
                    <xdr:colOff>0</xdr:colOff>
                    <xdr:row>22</xdr:row>
                    <xdr:rowOff>28575</xdr:rowOff>
                  </to>
                </anchor>
              </controlPr>
            </control>
          </mc:Choice>
        </mc:AlternateContent>
        <mc:AlternateContent xmlns:mc="http://schemas.openxmlformats.org/markup-compatibility/2006">
          <mc:Choice Requires="x14">
            <control shapeId="9245" r:id="rId32" name="Drop Down 29">
              <controlPr locked="0" defaultSize="0" print="0" autoFill="0" autoLine="0" autoPict="0">
                <anchor moveWithCells="1">
                  <from>
                    <xdr:col>1</xdr:col>
                    <xdr:colOff>0</xdr:colOff>
                    <xdr:row>22</xdr:row>
                    <xdr:rowOff>9525</xdr:rowOff>
                  </from>
                  <to>
                    <xdr:col>3</xdr:col>
                    <xdr:colOff>0</xdr:colOff>
                    <xdr:row>23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149</vt:i4>
      </vt:variant>
    </vt:vector>
  </HeadingPairs>
  <TitlesOfParts>
    <vt:vector size="160" baseType="lpstr">
      <vt:lpstr> </vt:lpstr>
      <vt:lpstr>Anleitung</vt:lpstr>
      <vt:lpstr>Futterwerte</vt:lpstr>
      <vt:lpstr>Eigenmischungen</vt:lpstr>
      <vt:lpstr>Ration Milch</vt:lpstr>
      <vt:lpstr>Ration Milch-Mineralstoffe</vt:lpstr>
      <vt:lpstr>Zuteilung-Milchleistungsfutter</vt:lpstr>
      <vt:lpstr>TMR-Mischplan</vt:lpstr>
      <vt:lpstr>Ration Aufzucht-Mast</vt:lpstr>
      <vt:lpstr>Info</vt:lpstr>
      <vt:lpstr>Einstellungen</vt:lpstr>
      <vt:lpstr>ADFmin</vt:lpstr>
      <vt:lpstr>AF_TS1</vt:lpstr>
      <vt:lpstr>aNDFomGF</vt:lpstr>
      <vt:lpstr>aNDFomGF_min</vt:lpstr>
      <vt:lpstr>Art</vt:lpstr>
      <vt:lpstr>Camax</vt:lpstr>
      <vt:lpstr>Camin</vt:lpstr>
      <vt:lpstr>CaPmax</vt:lpstr>
      <vt:lpstr>CaPmin</vt:lpstr>
      <vt:lpstr>DCAB_lakt_max</vt:lpstr>
      <vt:lpstr>DCAB_lakt_min</vt:lpstr>
      <vt:lpstr>DCAB_t_max</vt:lpstr>
      <vt:lpstr>Eigenmischungen!Druckbereich</vt:lpstr>
      <vt:lpstr>Futterwerte!Druckbereich</vt:lpstr>
      <vt:lpstr>'Ration Aufzucht-Mast'!Druckbereich</vt:lpstr>
      <vt:lpstr>'Ration Milch'!Druckbereich</vt:lpstr>
      <vt:lpstr>'Ration Milch-Mineralstoffe'!Druckbereich</vt:lpstr>
      <vt:lpstr>'TMR-Mischplan'!Druckbereich</vt:lpstr>
      <vt:lpstr>'Zuteilung-Milchleistungsfutter'!Druckbereich</vt:lpstr>
      <vt:lpstr>Futterwerte!Drucktitel</vt:lpstr>
      <vt:lpstr>'Ration Milch'!Drucktitel</vt:lpstr>
      <vt:lpstr>E_vH</vt:lpstr>
      <vt:lpstr>ECM</vt:lpstr>
      <vt:lpstr>'Ration Milch-Mineralstoffe'!EM</vt:lpstr>
      <vt:lpstr>EM</vt:lpstr>
      <vt:lpstr>F_vH</vt:lpstr>
      <vt:lpstr>'Ration Milch-Mineralstoffe'!FS</vt:lpstr>
      <vt:lpstr>FS</vt:lpstr>
      <vt:lpstr>GF_NEL</vt:lpstr>
      <vt:lpstr>GR_ADF</vt:lpstr>
      <vt:lpstr>GR_aNDFomGF</vt:lpstr>
      <vt:lpstr>GR_Ca</vt:lpstr>
      <vt:lpstr>GR_K</vt:lpstr>
      <vt:lpstr>GR_Mg</vt:lpstr>
      <vt:lpstr>GR_Na</vt:lpstr>
      <vt:lpstr>GR_NDF</vt:lpstr>
      <vt:lpstr>GR_NEL</vt:lpstr>
      <vt:lpstr>GR_NFC</vt:lpstr>
      <vt:lpstr>GR_nXP</vt:lpstr>
      <vt:lpstr>GR_P</vt:lpstr>
      <vt:lpstr>GR_pabXS_XZ</vt:lpstr>
      <vt:lpstr>GR_RNB</vt:lpstr>
      <vt:lpstr>GR_Se</vt:lpstr>
      <vt:lpstr>GR_SW</vt:lpstr>
      <vt:lpstr>GR_sXF</vt:lpstr>
      <vt:lpstr>GR_XF</vt:lpstr>
      <vt:lpstr>GR_XL</vt:lpstr>
      <vt:lpstr>GR_XS</vt:lpstr>
      <vt:lpstr>GR_XZ</vt:lpstr>
      <vt:lpstr>ITmax</vt:lpstr>
      <vt:lpstr>ITmin</vt:lpstr>
      <vt:lpstr>'Ration Milch-Mineralstoffe'!Kalbung</vt:lpstr>
      <vt:lpstr>Kalbung</vt:lpstr>
      <vt:lpstr>Kmax</vt:lpstr>
      <vt:lpstr>Kmin</vt:lpstr>
      <vt:lpstr>Kosten_TM</vt:lpstr>
      <vt:lpstr>'Ration Milch-Mineralstoffe'!LakNr</vt:lpstr>
      <vt:lpstr>LakNr</vt:lpstr>
      <vt:lpstr>LaktTag</vt:lpstr>
      <vt:lpstr>'Ration Milch-Mineralstoffe'!LG</vt:lpstr>
      <vt:lpstr>LG</vt:lpstr>
      <vt:lpstr>M_kg</vt:lpstr>
      <vt:lpstr>Mast_Aufzucht</vt:lpstr>
      <vt:lpstr>Mast_Eingabe</vt:lpstr>
      <vt:lpstr>Mast_GF_ME1</vt:lpstr>
      <vt:lpstr>Mast_GF_NEL1</vt:lpstr>
      <vt:lpstr>Mast_GF_nXP1</vt:lpstr>
      <vt:lpstr>Mast_GF_TM1</vt:lpstr>
      <vt:lpstr>Mast_KF_ME1</vt:lpstr>
      <vt:lpstr>Mast_KF_NEL1</vt:lpstr>
      <vt:lpstr>Mast_KF_nXP1</vt:lpstr>
      <vt:lpstr>Mast_KF_TM1</vt:lpstr>
      <vt:lpstr>Mast_LM</vt:lpstr>
      <vt:lpstr>Mast_LMZ</vt:lpstr>
      <vt:lpstr>Mast_Rasse</vt:lpstr>
      <vt:lpstr>Memax</vt:lpstr>
      <vt:lpstr>MEmin</vt:lpstr>
      <vt:lpstr>Mgmax</vt:lpstr>
      <vt:lpstr>Mgmin</vt:lpstr>
      <vt:lpstr>MJ_GF</vt:lpstr>
      <vt:lpstr>MLF_AF_Art1</vt:lpstr>
      <vt:lpstr>MLF_AF_max1</vt:lpstr>
      <vt:lpstr>MLF_AF_Milch1</vt:lpstr>
      <vt:lpstr>MLF_AF_NEL1</vt:lpstr>
      <vt:lpstr>MLF_AF_TS1</vt:lpstr>
      <vt:lpstr>MLF_Art_1</vt:lpstr>
      <vt:lpstr>MLF_Fett1</vt:lpstr>
      <vt:lpstr>MLF_GF_NEL1</vt:lpstr>
      <vt:lpstr>MLF_GF_NFC1</vt:lpstr>
      <vt:lpstr>MLF_GF_RNB1</vt:lpstr>
      <vt:lpstr>MLF_GFNEL1</vt:lpstr>
      <vt:lpstr>MLF_ITkorr1</vt:lpstr>
      <vt:lpstr>MLF_KF_NEL1</vt:lpstr>
      <vt:lpstr>MLF_Kf_TS1</vt:lpstr>
      <vt:lpstr>MLF_KFabr_max</vt:lpstr>
      <vt:lpstr>MLF_KFmax1</vt:lpstr>
      <vt:lpstr>MLF_KFmin1</vt:lpstr>
      <vt:lpstr>MLF_LakNr</vt:lpstr>
      <vt:lpstr>MLF_LakNr1</vt:lpstr>
      <vt:lpstr>MLF_LakTag1</vt:lpstr>
      <vt:lpstr>MLF_LM1</vt:lpstr>
      <vt:lpstr>MLF_NFCmax1</vt:lpstr>
      <vt:lpstr>MLF_Prot1</vt:lpstr>
      <vt:lpstr>MLF_Rasse1</vt:lpstr>
      <vt:lpstr>NaKmax</vt:lpstr>
      <vt:lpstr>NaKmin</vt:lpstr>
      <vt:lpstr>Namax</vt:lpstr>
      <vt:lpstr>Namin</vt:lpstr>
      <vt:lpstr>NDFmin</vt:lpstr>
      <vt:lpstr>NEL</vt:lpstr>
      <vt:lpstr>NEL_kg</vt:lpstr>
      <vt:lpstr>NELmax</vt:lpstr>
      <vt:lpstr>NELmin</vt:lpstr>
      <vt:lpstr>NFCmax</vt:lpstr>
      <vt:lpstr>nXP</vt:lpstr>
      <vt:lpstr>nXPmax</vt:lpstr>
      <vt:lpstr>nXPmin</vt:lpstr>
      <vt:lpstr>pab_max</vt:lpstr>
      <vt:lpstr>pabXS_XZ</vt:lpstr>
      <vt:lpstr>Pmax</vt:lpstr>
      <vt:lpstr>Pmin</vt:lpstr>
      <vt:lpstr>Rasse</vt:lpstr>
      <vt:lpstr>RNB_t_max</vt:lpstr>
      <vt:lpstr>RNB_t_min</vt:lpstr>
      <vt:lpstr>RNBmax</vt:lpstr>
      <vt:lpstr>RNBmin</vt:lpstr>
      <vt:lpstr>Semax</vt:lpstr>
      <vt:lpstr>Semin</vt:lpstr>
      <vt:lpstr>SI</vt:lpstr>
      <vt:lpstr>SImin</vt:lpstr>
      <vt:lpstr>SWmin</vt:lpstr>
      <vt:lpstr>sXFmin</vt:lpstr>
      <vt:lpstr>Tabelle</vt:lpstr>
      <vt:lpstr>Tabelle_1</vt:lpstr>
      <vt:lpstr>Tabelle_Konz</vt:lpstr>
      <vt:lpstr>Tabelle_Kopf</vt:lpstr>
      <vt:lpstr>Tiere</vt:lpstr>
      <vt:lpstr>TM_FM</vt:lpstr>
      <vt:lpstr>TM_GF</vt:lpstr>
      <vt:lpstr>TM_Grundration</vt:lpstr>
      <vt:lpstr>TMR</vt:lpstr>
      <vt:lpstr>'Ration Milch-Mineralstoffe'!TS</vt:lpstr>
      <vt:lpstr>TS</vt:lpstr>
      <vt:lpstr>XFmin</vt:lpstr>
      <vt:lpstr>XLmax</vt:lpstr>
      <vt:lpstr>XPmax</vt:lpstr>
      <vt:lpstr>XPmin</vt:lpstr>
      <vt:lpstr>XSmax</vt:lpstr>
      <vt:lpstr>XZmax</vt:lpstr>
    </vt:vector>
  </TitlesOfParts>
  <Company>EBZI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Sekul, Wolfgang (LAZBW)</dc:creator>
  <cp:lastModifiedBy>Gerster, Elisabeth (LAZBW)</cp:lastModifiedBy>
  <cp:lastPrinted>2024-11-04T09:17:21Z</cp:lastPrinted>
  <dcterms:created xsi:type="dcterms:W3CDTF">2000-02-24T07:56:29Z</dcterms:created>
  <dcterms:modified xsi:type="dcterms:W3CDTF">2025-12-17T09:20:11Z</dcterms:modified>
</cp:coreProperties>
</file>