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DieseArbeitsmappe"/>
  <mc:AlternateContent xmlns:mc="http://schemas.openxmlformats.org/markup-compatibility/2006">
    <mc:Choice Requires="x15">
      <x15ac:absPath xmlns:x15ac="http://schemas.microsoft.com/office/spreadsheetml/2010/11/ac" url="L:\VLGW\Referat12\Meßmer\Rationsberechnung UniRat\"/>
    </mc:Choice>
  </mc:AlternateContent>
  <xr:revisionPtr revIDLastSave="0" documentId="13_ncr:1_{CB04731C-FD0C-4CAC-AEB9-5D66C0B15BED}" xr6:coauthVersionLast="47" xr6:coauthVersionMax="47" xr10:uidLastSave="{00000000-0000-0000-0000-000000000000}"/>
  <bookViews>
    <workbookView xWindow="28680" yWindow="-120" windowWidth="29040" windowHeight="15720" tabRatio="918" xr2:uid="{00000000-000D-0000-FFFF-FFFF00000000}"/>
  </bookViews>
  <sheets>
    <sheet name=" " sheetId="1" r:id="rId1"/>
    <sheet name=" Anleitung" sheetId="13" r:id="rId2"/>
    <sheet name="Futterwerte" sheetId="3" r:id="rId3"/>
    <sheet name="Ration Milch" sheetId="5" r:id="rId4"/>
    <sheet name="Ration Milch-Mineralstoffe" sheetId="6" r:id="rId5"/>
    <sheet name="Einstellungen" sheetId="12" r:id="rId6"/>
    <sheet name="Modul1" sheetId="8" state="veryHidden" r:id="rId7"/>
  </sheets>
  <externalReferences>
    <externalReference r:id="rId8"/>
  </externalReferences>
  <definedNames>
    <definedName name="_xlnm._FilterDatabase" localSheetId="2" hidden="1">Futterwerte!$A$3:$AP$83</definedName>
    <definedName name="_Hlk213942594" localSheetId="1">' Anleitung'!$D$53</definedName>
    <definedName name="ADFmin">Einstellungen!$E$12</definedName>
    <definedName name="AF_TS1">#REF!</definedName>
    <definedName name="aNDFomGF">'Ration Milch'!$AC$40</definedName>
    <definedName name="aNDFomGF_min">Einstellungen!$E$14</definedName>
    <definedName name="Art">'Ration Milch'!$C$3</definedName>
    <definedName name="Camax">Einstellungen!$F$20</definedName>
    <definedName name="Camin">Einstellungen!$E$20</definedName>
    <definedName name="CaPmax">Einstellungen!#REF!</definedName>
    <definedName name="CaPmin">Einstellungen!#REF!</definedName>
    <definedName name="DCAB_lakt_max">Einstellungen!$F$27</definedName>
    <definedName name="DCAB_lakt_min">Einstellungen!$E$27</definedName>
    <definedName name="DCAB_t_max">Einstellungen!#REF!</definedName>
    <definedName name="_xlnm.Print_Area" localSheetId="2">Futterwerte!$A$1:$AH$83</definedName>
    <definedName name="_xlnm.Print_Area" localSheetId="3">'Ration Milch'!$A$1:$AM$51</definedName>
    <definedName name="_xlnm.Print_Area" localSheetId="4">'Ration Milch-Mineralstoffe'!$A$1:$V$42</definedName>
    <definedName name="_xlnm.Print_Titles" localSheetId="2">Futterwerte!$1:$7</definedName>
    <definedName name="_xlnm.Print_Titles" localSheetId="3">'Ration Milch'!$1:$2</definedName>
    <definedName name="E_vH">'Ration Milch'!$M$11</definedName>
    <definedName name="ECM">'Ration Milch'!$Y$15</definedName>
    <definedName name="EM" localSheetId="4">'Ration Milch-Mineralstoffe'!$N$10</definedName>
    <definedName name="EM">'Ration Milch'!$Y$13</definedName>
    <definedName name="F_vH">'Ration Milch'!$L$11</definedName>
    <definedName name="FS" localSheetId="4">'Ration Milch-Mineralstoffe'!$A$37</definedName>
    <definedName name="FS">'Ration Milch'!$B$40</definedName>
    <definedName name="Futter">[1]Erfassung!$B$13:$Y$10018</definedName>
    <definedName name="GF_NEL">'Ration Milch'!$Y$26</definedName>
    <definedName name="GR_ADF">'Ration Milch'!$AD$34</definedName>
    <definedName name="GR_aNDFomGF">'Ration Milch'!$AE$34</definedName>
    <definedName name="GR_Ca">'Ration Milch-Mineralstoffe'!$N$31</definedName>
    <definedName name="GR_K">'Ration Milch-Mineralstoffe'!$R$31</definedName>
    <definedName name="GR_Mg">'Ration Milch-Mineralstoffe'!$Q$31</definedName>
    <definedName name="GR_Na">'Ration Milch-Mineralstoffe'!$P$31</definedName>
    <definedName name="GR_NDF">'Ration Milch'!$AD$34</definedName>
    <definedName name="GR_NEL">'Ration Milch'!$Y$34</definedName>
    <definedName name="GR_NFC">'Ration Milch'!$AF$34</definedName>
    <definedName name="GR_nXP">'Ration Milch'!$Z$34</definedName>
    <definedName name="GR_P">'Ration Milch-Mineralstoffe'!$O$31</definedName>
    <definedName name="GR_pabXS_XZ">'Ration Milch'!$AC$34</definedName>
    <definedName name="GR_RNB">'Ration Milch'!$AA$34</definedName>
    <definedName name="GR_Se">'Ration Milch-Mineralstoffe'!$S$31</definedName>
    <definedName name="GR_SW">'Ration Milch'!$AC$34</definedName>
    <definedName name="GR_sXF">'Ration Milch'!#REF!</definedName>
    <definedName name="GR_XF">'Ration Milch'!#REF!</definedName>
    <definedName name="GR_XL">'Ration Milch'!$AH$34</definedName>
    <definedName name="GR_XS">'Ration Milch'!$AF$34</definedName>
    <definedName name="GR_XZ">'Ration Milch'!$AG$34</definedName>
    <definedName name="ITmax">Einstellungen!$F$3</definedName>
    <definedName name="ITmin">Einstellungen!$E$3</definedName>
    <definedName name="Kalbung" localSheetId="4">'Ration Milch-Mineralstoffe'!$E$6</definedName>
    <definedName name="Kalbung">'Ration Milch'!#REF!</definedName>
    <definedName name="Kmax">Einstellungen!$F$24</definedName>
    <definedName name="Kmin">Einstellungen!$E$24</definedName>
    <definedName name="Kosten_TM">'Ration Milch'!#REF!</definedName>
    <definedName name="LakNr" localSheetId="4">'Ration Milch-Mineralstoffe'!$D$6</definedName>
    <definedName name="LakNr">'Ration Milch'!$H$11</definedName>
    <definedName name="LaktTag">'Ration Milch'!$I$11</definedName>
    <definedName name="LG" localSheetId="4">'Ration Milch-Mineralstoffe'!$F$6</definedName>
    <definedName name="LG">'Ration Milch'!$J$11</definedName>
    <definedName name="M_kg">'Ration Milch'!$K$11</definedName>
    <definedName name="Mast_Aufzucht">#REF!</definedName>
    <definedName name="Mast_Eingabe">#REF!</definedName>
    <definedName name="Mast_GF_ME1">#REF!</definedName>
    <definedName name="Mast_GF_NEL1">#REF!</definedName>
    <definedName name="Mast_GF_nXP1">#REF!</definedName>
    <definedName name="Mast_GF_TM1">#REF!</definedName>
    <definedName name="Mast_KF_ME1">#REF!</definedName>
    <definedName name="Mast_KF_NEL1">#REF!</definedName>
    <definedName name="Mast_KF_nXP1">#REF!</definedName>
    <definedName name="Mast_KF_TM1">#REF!</definedName>
    <definedName name="Mast_LM">#REF!</definedName>
    <definedName name="Mast_LMZ">#REF!</definedName>
    <definedName name="Mast_Rasse">#REF!</definedName>
    <definedName name="Memax">Einstellungen!$F$5</definedName>
    <definedName name="MEmin">Einstellungen!$E$5</definedName>
    <definedName name="Mgmax">Einstellungen!$F$23</definedName>
    <definedName name="Mgmin">Einstellungen!$E$23</definedName>
    <definedName name="MJ_GF">'Ration Milch'!$Y$25</definedName>
    <definedName name="MLF_AF_Art1">#REF!</definedName>
    <definedName name="MLF_AF_max1">#REF!</definedName>
    <definedName name="MLF_AF_Milch1">#REF!</definedName>
    <definedName name="MLF_AF_NEL1">#REF!</definedName>
    <definedName name="MLF_AF_TS1">#REF!</definedName>
    <definedName name="MLF_Art_1">#REF!</definedName>
    <definedName name="MLF_Fett1">#REF!</definedName>
    <definedName name="MLF_GF_NEL1">#REF!</definedName>
    <definedName name="MLF_GF_NFC1">#REF!</definedName>
    <definedName name="MLF_GF_RNB1">#REF!</definedName>
    <definedName name="MLF_GFNEL1">#REF!</definedName>
    <definedName name="MLF_ITkorr1">#REF!</definedName>
    <definedName name="MLF_KF_NEL1">#REF!</definedName>
    <definedName name="MLF_Kf_TS1">#REF!</definedName>
    <definedName name="MLF_KFabr_max">#REF!</definedName>
    <definedName name="MLF_KFmax1">#REF!</definedName>
    <definedName name="MLF_KFmin1">#REF!</definedName>
    <definedName name="MLF_LakNr">#REF!</definedName>
    <definedName name="MLF_LakNr1">#REF!</definedName>
    <definedName name="MLF_LakTag1">#REF!</definedName>
    <definedName name="MLF_LM1">#REF!</definedName>
    <definedName name="MLF_NFCmax1">#REF!</definedName>
    <definedName name="MLF_Prot1">#REF!</definedName>
    <definedName name="MLF_Rasse1">#REF!</definedName>
    <definedName name="NaKmax">Einstellungen!$F$26</definedName>
    <definedName name="NaKmin">Einstellungen!$E$26</definedName>
    <definedName name="Namax">Einstellungen!$F$22</definedName>
    <definedName name="Namin">Einstellungen!$E$22</definedName>
    <definedName name="NDFmin">Einstellungen!$E$13</definedName>
    <definedName name="NEL">'Ration Milch'!$Y$40</definedName>
    <definedName name="NEL_kg">'Ration Milch'!$Y$41</definedName>
    <definedName name="NELmax">Einstellungen!$F$4</definedName>
    <definedName name="NELmin">Einstellungen!$E$4</definedName>
    <definedName name="NFCmax">Einstellungen!$F$10</definedName>
    <definedName name="nXP">'Ration Milch'!$Z$40</definedName>
    <definedName name="nXPmax">Einstellungen!$F$6</definedName>
    <definedName name="nXPmin">Einstellungen!$E$6</definedName>
    <definedName name="pab_max">Einstellungen!$F$18</definedName>
    <definedName name="pabXS_XZ">'Ration Milch'!$AB$40</definedName>
    <definedName name="Pmax">Einstellungen!$F$21</definedName>
    <definedName name="Pmin">Einstellungen!$E$21</definedName>
    <definedName name="Rasse">'Ration Milch'!$F$3</definedName>
    <definedName name="RNB_t_max">Einstellungen!$F$9</definedName>
    <definedName name="RNB_t_min">Einstellungen!$E$9</definedName>
    <definedName name="RNBmax">Einstellungen!$F$8</definedName>
    <definedName name="RNBmin">Einstellungen!$E$8</definedName>
    <definedName name="Semax">Einstellungen!$F$25</definedName>
    <definedName name="Semin">Einstellungen!$E$25</definedName>
    <definedName name="SI">'Ration Milch'!$AL$40</definedName>
    <definedName name="SImin">Einstellungen!$E$11</definedName>
    <definedName name="SWmin">Einstellungen!$E$11</definedName>
    <definedName name="sXFmin">Einstellungen!$E$18</definedName>
    <definedName name="Tabelle">Futterwerte!$A$54:$AO$115</definedName>
    <definedName name="Tabelle_1">Futterwerte!$B$54:$XFD$115</definedName>
    <definedName name="Tabelle_Konz">Futterwerte!#REF!</definedName>
    <definedName name="Tabelle_Kopf">Futterwerte!$A$3:$AO$7</definedName>
    <definedName name="Tiere">'Ration Milch'!$F$9</definedName>
    <definedName name="TM_FM">'Ration Milch'!$I$5</definedName>
    <definedName name="TM_GF">'Ration Milch'!$W$25</definedName>
    <definedName name="TM_Grundration">'Ration Milch'!$W$33</definedName>
    <definedName name="TMR">'Ration Milch'!$D$11</definedName>
    <definedName name="TS" localSheetId="4">'Ration Milch-Mineralstoffe'!$M$37</definedName>
    <definedName name="TS">'Ration Milch'!$W$40</definedName>
    <definedName name="XFmin">Einstellungen!$E$14</definedName>
    <definedName name="XLmax">Einstellungen!$F$17</definedName>
    <definedName name="XPmax">Einstellungen!$F$7</definedName>
    <definedName name="XPmin">Einstellungen!$E$7</definedName>
    <definedName name="XSmax">Einstellungen!$F$15</definedName>
    <definedName name="XZmax">Einstellungen!$F$16</definedName>
    <definedName name="Z_117F828A_4542_4D18_9CDB_B606529AAD66_.wvu.Cols" localSheetId="0" hidden="1">' '!$C:$XFD</definedName>
    <definedName name="Z_117F828A_4542_4D18_9CDB_B606529AAD66_.wvu.Cols" localSheetId="2" hidden="1">Futterwerte!$AP:$XFD</definedName>
    <definedName name="Z_117F828A_4542_4D18_9CDB_B606529AAD66_.wvu.Cols" localSheetId="3" hidden="1">'Ration Milch'!$C:$C,'Ration Milch'!$E:$E,'Ration Milch'!$O:$P,'Ration Milch'!$AF:$AH</definedName>
    <definedName name="Z_117F828A_4542_4D18_9CDB_B606529AAD66_.wvu.Cols" localSheetId="4" hidden="1">'Ration Milch-Mineralstoffe'!$B:$B,'Ration Milch-Mineralstoffe'!#REF!,'Ration Milch-Mineralstoffe'!$T:$T,'Ration Milch-Mineralstoffe'!$W:$XFD</definedName>
    <definedName name="Z_117F828A_4542_4D18_9CDB_B606529AAD66_.wvu.FilterData" localSheetId="2" hidden="1">Futterwerte!$A$3:$AP$83</definedName>
    <definedName name="Z_117F828A_4542_4D18_9CDB_B606529AAD66_.wvu.PrintArea" localSheetId="2" hidden="1">Futterwerte!$A$1:$AH$83</definedName>
    <definedName name="Z_117F828A_4542_4D18_9CDB_B606529AAD66_.wvu.PrintArea" localSheetId="3" hidden="1">'Ration Milch'!$A$1:$AM$51</definedName>
    <definedName name="Z_117F828A_4542_4D18_9CDB_B606529AAD66_.wvu.PrintArea" localSheetId="4" hidden="1">'Ration Milch-Mineralstoffe'!$A$1:$V$42</definedName>
    <definedName name="Z_117F828A_4542_4D18_9CDB_B606529AAD66_.wvu.PrintTitles" localSheetId="2" hidden="1">Futterwerte!$1:$7</definedName>
    <definedName name="Z_117F828A_4542_4D18_9CDB_B606529AAD66_.wvu.PrintTitles" localSheetId="3" hidden="1">'Ration Milch'!$1:$2</definedName>
    <definedName name="Z_117F828A_4542_4D18_9CDB_B606529AAD66_.wvu.Rows" localSheetId="0" hidden="1">' '!$27:$1048576,' '!$1:$1</definedName>
    <definedName name="Z_117F828A_4542_4D18_9CDB_B606529AAD66_.wvu.Rows" localSheetId="2" hidden="1">Futterwerte!$87:$1048576,Futterwerte!$85:$86</definedName>
    <definedName name="Z_117F828A_4542_4D18_9CDB_B606529AAD66_.wvu.Rows" localSheetId="3" hidden="1">'Ration Milch'!$64:$1048576,'Ration Milch'!$52:$60,'Ration Milch'!$63:$63</definedName>
    <definedName name="Z_117F828A_4542_4D18_9CDB_B606529AAD66_.wvu.Rows" localSheetId="4" hidden="1">'Ration Milch-Mineralstoffe'!$52:$1048576,'Ration Milch-Mineralstoffe'!$43:$51</definedName>
    <definedName name="Z_2DEE39A3_88C5_4D7F_AEB9_0B43FD431165_.wvu.Cols" localSheetId="0" hidden="1">' '!$C:$XFD</definedName>
    <definedName name="Z_2DEE39A3_88C5_4D7F_AEB9_0B43FD431165_.wvu.Cols" localSheetId="2" hidden="1">Futterwerte!#REF!,Futterwerte!$AA:$AA,Futterwerte!$AP:$XFD</definedName>
    <definedName name="Z_2DEE39A3_88C5_4D7F_AEB9_0B43FD431165_.wvu.Cols" localSheetId="3" hidden="1">'Ration Milch'!$C:$C,'Ration Milch'!$O:$R,'Ration Milch'!$X:$X,'Ration Milch'!#REF!,'Ration Milch'!$AF:$AH</definedName>
    <definedName name="Z_2DEE39A3_88C5_4D7F_AEB9_0B43FD431165_.wvu.Cols" localSheetId="4" hidden="1">'Ration Milch-Mineralstoffe'!$B:$B,'Ration Milch-Mineralstoffe'!$W:$XFD</definedName>
    <definedName name="Z_2DEE39A3_88C5_4D7F_AEB9_0B43FD431165_.wvu.FilterData" localSheetId="2" hidden="1">Futterwerte!$A$3:$AP$83</definedName>
    <definedName name="Z_2DEE39A3_88C5_4D7F_AEB9_0B43FD431165_.wvu.PrintArea" localSheetId="2" hidden="1">Futterwerte!$A$1:$AH$83</definedName>
    <definedName name="Z_2DEE39A3_88C5_4D7F_AEB9_0B43FD431165_.wvu.PrintArea" localSheetId="3" hidden="1">'Ration Milch'!$A$1:$AM$51</definedName>
    <definedName name="Z_2DEE39A3_88C5_4D7F_AEB9_0B43FD431165_.wvu.PrintArea" localSheetId="4" hidden="1">'Ration Milch-Mineralstoffe'!$A$1:$V$42</definedName>
    <definedName name="Z_2DEE39A3_88C5_4D7F_AEB9_0B43FD431165_.wvu.PrintTitles" localSheetId="2" hidden="1">Futterwerte!$1:$7</definedName>
    <definedName name="Z_2DEE39A3_88C5_4D7F_AEB9_0B43FD431165_.wvu.PrintTitles" localSheetId="3" hidden="1">'Ration Milch'!$1:$2</definedName>
    <definedName name="Z_2DEE39A3_88C5_4D7F_AEB9_0B43FD431165_.wvu.Rows" localSheetId="0" hidden="1">' '!$27:$1048576,' '!$1:$1</definedName>
    <definedName name="Z_2DEE39A3_88C5_4D7F_AEB9_0B43FD431165_.wvu.Rows" localSheetId="5" hidden="1">Einstellungen!$12:$12</definedName>
    <definedName name="Z_2DEE39A3_88C5_4D7F_AEB9_0B43FD431165_.wvu.Rows" localSheetId="3" hidden="1">'Ration Milch'!$66:$1048576,'Ration Milch'!$52:$65</definedName>
    <definedName name="Z_2DEE39A3_88C5_4D7F_AEB9_0B43FD431165_.wvu.Rows" localSheetId="4" hidden="1">'Ration Milch-Mineralstoffe'!$53:$1048576,'Ration Milch-Mineralstoffe'!$43:$51</definedName>
  </definedNames>
  <calcPr calcId="191029"/>
  <customWorkbookViews>
    <customWorkbookView name="Gerster, Elisabeth (LAZBW) - Persönliche Ansicht" guid="{2DEE39A3-88C5-4D7F-AEB9-0B43FD431165}" mergeInterval="0" personalView="1" xWindow="-1" yWindow="-46" windowWidth="1922" windowHeight="1048" activeSheetId="5"/>
    <customWorkbookView name="Sekul, Wolfgang (LAZBW) - Persönliche Ansicht" guid="{117F828A-4542-4D18-9CDB-B606529AAD66}" mergeInterval="0" personalView="1" maximized="1" windowWidth="1916" windowHeight="868" tabRatio="931"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18" i="5" l="1"/>
  <c r="AH18" i="5"/>
  <c r="AE18" i="5"/>
  <c r="R38" i="5"/>
  <c r="S38" i="5"/>
  <c r="R37" i="5"/>
  <c r="R29" i="5"/>
  <c r="R30" i="5"/>
  <c r="R31" i="5"/>
  <c r="R32" i="5"/>
  <c r="AH32" i="5" s="1"/>
  <c r="R28" i="5"/>
  <c r="O38" i="5"/>
  <c r="O37" i="5"/>
  <c r="O29" i="5"/>
  <c r="O30" i="5"/>
  <c r="O31" i="5"/>
  <c r="O32" i="5"/>
  <c r="AE32" i="5" s="1"/>
  <c r="O28" i="5"/>
  <c r="R21" i="5"/>
  <c r="R22" i="5"/>
  <c r="R23" i="5"/>
  <c r="R24" i="5"/>
  <c r="P22" i="5"/>
  <c r="O21" i="5"/>
  <c r="O22" i="5"/>
  <c r="O23" i="5"/>
  <c r="O24" i="5"/>
  <c r="R20" i="5"/>
  <c r="S20" i="5"/>
  <c r="O20" i="5"/>
  <c r="H72" i="3"/>
  <c r="H69" i="3"/>
  <c r="H70" i="3"/>
  <c r="H71" i="3"/>
  <c r="H73" i="3"/>
  <c r="H75" i="3"/>
  <c r="H76" i="3"/>
  <c r="H77" i="3"/>
  <c r="H78" i="3"/>
  <c r="H79" i="3"/>
  <c r="H80" i="3"/>
  <c r="H81" i="3"/>
  <c r="H82" i="3"/>
  <c r="H83" i="3"/>
  <c r="H85" i="3"/>
  <c r="H86" i="3"/>
  <c r="H87" i="3"/>
  <c r="H88" i="3"/>
  <c r="H89" i="3"/>
  <c r="H90"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55" i="3"/>
  <c r="H57" i="3"/>
  <c r="H58" i="3"/>
  <c r="H59" i="3"/>
  <c r="H60" i="3"/>
  <c r="H61" i="3"/>
  <c r="H62" i="3"/>
  <c r="H63" i="3"/>
  <c r="H64" i="3"/>
  <c r="H65" i="3"/>
  <c r="H66" i="3"/>
  <c r="H67" i="3"/>
  <c r="H54" i="3"/>
  <c r="S39" i="6"/>
  <c r="T39" i="6"/>
  <c r="U37" i="5"/>
  <c r="B16" i="6"/>
  <c r="K16" i="6" s="1"/>
  <c r="B18" i="6"/>
  <c r="I18" i="6" s="1"/>
  <c r="G29" i="5"/>
  <c r="G30" i="5"/>
  <c r="G31" i="5"/>
  <c r="G28" i="5"/>
  <c r="G22" i="5"/>
  <c r="G24" i="5"/>
  <c r="G38" i="5"/>
  <c r="G37" i="5"/>
  <c r="G23" i="5"/>
  <c r="G20" i="5"/>
  <c r="G21" i="5"/>
  <c r="S21" i="5"/>
  <c r="AE39" i="5"/>
  <c r="AH39" i="5"/>
  <c r="Q85" i="3"/>
  <c r="Q86" i="3"/>
  <c r="Q87" i="3"/>
  <c r="Q88" i="3"/>
  <c r="Q89" i="3"/>
  <c r="Q90" i="3"/>
  <c r="AW85" i="3"/>
  <c r="Q83" i="3"/>
  <c r="L86" i="3"/>
  <c r="L87" i="3"/>
  <c r="L88" i="3"/>
  <c r="L89" i="3"/>
  <c r="L90" i="3"/>
  <c r="L85" i="3"/>
  <c r="AV85" i="3"/>
  <c r="AW81" i="3"/>
  <c r="L82" i="3"/>
  <c r="H18" i="6" l="1"/>
  <c r="F18" i="6"/>
  <c r="J18" i="6"/>
  <c r="G18" i="6"/>
  <c r="K18" i="6"/>
  <c r="G16" i="6"/>
  <c r="F16" i="6"/>
  <c r="E16" i="6"/>
  <c r="J16" i="6"/>
  <c r="H16" i="6"/>
  <c r="I16" i="6"/>
  <c r="E18" i="6"/>
  <c r="L12" i="5"/>
  <c r="AC11" i="5" l="1"/>
  <c r="AD11" i="5"/>
  <c r="Z14" i="5"/>
  <c r="Y12" i="5" l="1"/>
  <c r="Y14" i="5"/>
  <c r="H9" i="5"/>
  <c r="L18" i="5" s="1"/>
  <c r="AW67" i="3"/>
  <c r="AX67" i="3" s="1"/>
  <c r="AS67" i="3"/>
  <c r="AV67" i="3" s="1"/>
  <c r="S67" i="3"/>
  <c r="G67" i="3"/>
  <c r="AW66" i="3"/>
  <c r="AS66" i="3"/>
  <c r="AV66" i="3" s="1"/>
  <c r="S66" i="3"/>
  <c r="G66" i="3"/>
  <c r="G65" i="3"/>
  <c r="S65" i="3"/>
  <c r="AS65" i="3"/>
  <c r="AV65" i="3" s="1"/>
  <c r="AW65" i="3"/>
  <c r="G6" i="6"/>
  <c r="O10" i="6" s="1"/>
  <c r="D21" i="12"/>
  <c r="AD39" i="5" l="1"/>
  <c r="AB39" i="5"/>
  <c r="Z39" i="5"/>
  <c r="B6" i="3"/>
  <c r="P10" i="6"/>
  <c r="R10" i="6"/>
  <c r="Q10" i="6"/>
  <c r="D66" i="3"/>
  <c r="Q67" i="3"/>
  <c r="D67" i="3"/>
  <c r="L67" i="3"/>
  <c r="Q66" i="3"/>
  <c r="AX66" i="3"/>
  <c r="L66" i="3" s="1"/>
  <c r="Q65" i="3"/>
  <c r="AX65" i="3"/>
  <c r="L65" i="3" s="1"/>
  <c r="D65" i="3"/>
  <c r="N10" i="6"/>
  <c r="I55" i="3" l="1"/>
  <c r="I67" i="3"/>
  <c r="I79" i="3"/>
  <c r="I103" i="3"/>
  <c r="I115" i="3"/>
  <c r="I92" i="3"/>
  <c r="I104" i="3"/>
  <c r="I116" i="3"/>
  <c r="I69" i="3"/>
  <c r="I81" i="3"/>
  <c r="I93" i="3"/>
  <c r="I105" i="3"/>
  <c r="I117" i="3"/>
  <c r="I54" i="3"/>
  <c r="I80" i="3"/>
  <c r="I57" i="3"/>
  <c r="I58" i="3"/>
  <c r="I70" i="3"/>
  <c r="I82" i="3"/>
  <c r="I94" i="3"/>
  <c r="I106" i="3"/>
  <c r="I118" i="3"/>
  <c r="I62" i="3"/>
  <c r="I86" i="3"/>
  <c r="I98" i="3"/>
  <c r="I110" i="3"/>
  <c r="I122" i="3"/>
  <c r="I102" i="3"/>
  <c r="I59" i="3"/>
  <c r="I71" i="3"/>
  <c r="I83" i="3"/>
  <c r="I95" i="3"/>
  <c r="I107" i="3"/>
  <c r="I119" i="3"/>
  <c r="I72" i="3"/>
  <c r="I96" i="3"/>
  <c r="I108" i="3"/>
  <c r="I120" i="3"/>
  <c r="I87" i="3"/>
  <c r="I111" i="3"/>
  <c r="I65" i="3"/>
  <c r="I101" i="3"/>
  <c r="I113" i="3"/>
  <c r="I60" i="3"/>
  <c r="I75" i="3"/>
  <c r="I99" i="3"/>
  <c r="I64" i="3"/>
  <c r="I76" i="3"/>
  <c r="I88" i="3"/>
  <c r="I100" i="3"/>
  <c r="I77" i="3"/>
  <c r="I78" i="3"/>
  <c r="I61" i="3"/>
  <c r="I73" i="3"/>
  <c r="I85" i="3"/>
  <c r="I97" i="3"/>
  <c r="I109" i="3"/>
  <c r="I121" i="3"/>
  <c r="I114" i="3"/>
  <c r="I90" i="3"/>
  <c r="I63" i="3"/>
  <c r="I112" i="3"/>
  <c r="I89" i="3"/>
  <c r="I66" i="3"/>
  <c r="AG67" i="3"/>
  <c r="AT67" i="3" s="1"/>
  <c r="AG86" i="3"/>
  <c r="AG90" i="3"/>
  <c r="AG87" i="3"/>
  <c r="AG85" i="3"/>
  <c r="AG88" i="3"/>
  <c r="AG82" i="3"/>
  <c r="AG89" i="3"/>
  <c r="AR73" i="3"/>
  <c r="AG5" i="3"/>
  <c r="AR56" i="3"/>
  <c r="AU67" i="3"/>
  <c r="AR68" i="3"/>
  <c r="AU65" i="3"/>
  <c r="AG66" i="3"/>
  <c r="AT66" i="3" s="1"/>
  <c r="AR74" i="3"/>
  <c r="AR91" i="3"/>
  <c r="P67" i="3"/>
  <c r="AR67" i="3" s="1"/>
  <c r="AR84" i="3"/>
  <c r="P65" i="3"/>
  <c r="AR65" i="3" s="1"/>
  <c r="AG65" i="3"/>
  <c r="AT65" i="3" s="1"/>
  <c r="AG93" i="3"/>
  <c r="AU66" i="3"/>
  <c r="P66" i="3"/>
  <c r="AR66" i="3" s="1"/>
  <c r="Z12" i="5"/>
  <c r="Z13" i="5" s="1"/>
  <c r="Y13" i="5"/>
  <c r="Y15" i="5" s="1"/>
  <c r="M67" i="3" l="1"/>
  <c r="E65" i="3"/>
  <c r="E67" i="3"/>
  <c r="R66" i="3"/>
  <c r="R67" i="3"/>
  <c r="M65" i="3"/>
  <c r="M66" i="3"/>
  <c r="E66" i="3"/>
  <c r="R65" i="3"/>
  <c r="AS61" i="3"/>
  <c r="AV61" i="3" s="1"/>
  <c r="AW93" i="3" l="1"/>
  <c r="G93" i="3"/>
  <c r="G92" i="3"/>
  <c r="S93" i="3"/>
  <c r="S88" i="3"/>
  <c r="S89" i="3"/>
  <c r="S90" i="3"/>
  <c r="S92" i="3"/>
  <c r="S94" i="3"/>
  <c r="S95" i="3"/>
  <c r="S96" i="3"/>
  <c r="S97" i="3"/>
  <c r="S98" i="3"/>
  <c r="S99" i="3"/>
  <c r="S100" i="3"/>
  <c r="S101" i="3"/>
  <c r="S102" i="3"/>
  <c r="S103" i="3"/>
  <c r="S104" i="3"/>
  <c r="S105" i="3"/>
  <c r="S106" i="3"/>
  <c r="S107" i="3"/>
  <c r="S108" i="3"/>
  <c r="S109" i="3"/>
  <c r="S110" i="3"/>
  <c r="S111" i="3"/>
  <c r="S112" i="3"/>
  <c r="S113" i="3"/>
  <c r="S114" i="3"/>
  <c r="S115" i="3"/>
  <c r="S116" i="3"/>
  <c r="S117" i="3"/>
  <c r="S118" i="3"/>
  <c r="S119" i="3"/>
  <c r="S120" i="3"/>
  <c r="S121" i="3"/>
  <c r="S122" i="3"/>
  <c r="D93" i="3" l="1"/>
  <c r="D92" i="3"/>
  <c r="G64" i="3"/>
  <c r="G69" i="3"/>
  <c r="G70" i="3"/>
  <c r="G71" i="3"/>
  <c r="G72" i="3"/>
  <c r="G73" i="3"/>
  <c r="G75" i="3"/>
  <c r="G76" i="3"/>
  <c r="G77" i="3"/>
  <c r="G78" i="3"/>
  <c r="G79" i="3"/>
  <c r="D79" i="3" s="1"/>
  <c r="G80" i="3"/>
  <c r="G81" i="3"/>
  <c r="G82" i="3"/>
  <c r="G83" i="3"/>
  <c r="D83" i="3" s="1"/>
  <c r="G85" i="3"/>
  <c r="G86" i="3"/>
  <c r="G87" i="3"/>
  <c r="G90" i="3"/>
  <c r="G94" i="3"/>
  <c r="G95" i="3"/>
  <c r="G96" i="3"/>
  <c r="G97" i="3"/>
  <c r="G98" i="3"/>
  <c r="D98" i="3" s="1"/>
  <c r="G99" i="3"/>
  <c r="G100" i="3"/>
  <c r="D100" i="3" s="1"/>
  <c r="G101" i="3"/>
  <c r="G102" i="3"/>
  <c r="G103" i="3"/>
  <c r="G104" i="3"/>
  <c r="G105" i="3"/>
  <c r="G106" i="3"/>
  <c r="D106" i="3" s="1"/>
  <c r="G107" i="3"/>
  <c r="G108" i="3"/>
  <c r="G109" i="3"/>
  <c r="G110" i="3"/>
  <c r="G111" i="3"/>
  <c r="G112" i="3"/>
  <c r="D112" i="3" s="1"/>
  <c r="G113" i="3"/>
  <c r="G114" i="3"/>
  <c r="G115" i="3"/>
  <c r="G116" i="3"/>
  <c r="G117" i="3"/>
  <c r="G118" i="3"/>
  <c r="G119" i="3"/>
  <c r="G120" i="3"/>
  <c r="G121" i="3"/>
  <c r="G122" i="3"/>
  <c r="D122" i="3" s="1"/>
  <c r="D82" i="3" l="1"/>
  <c r="D78" i="3"/>
  <c r="D72" i="3"/>
  <c r="AG61" i="3"/>
  <c r="AT61" i="3" s="1"/>
  <c r="AU61" i="3"/>
  <c r="P61" i="3"/>
  <c r="AR61" i="3" s="1"/>
  <c r="P93" i="3"/>
  <c r="AR93" i="3" s="1"/>
  <c r="D114" i="3"/>
  <c r="D71" i="3"/>
  <c r="D76" i="3"/>
  <c r="D120" i="3"/>
  <c r="D96" i="3"/>
  <c r="D80" i="3"/>
  <c r="D116" i="3"/>
  <c r="D104" i="3"/>
  <c r="AG114" i="3"/>
  <c r="AG118" i="3"/>
  <c r="AG122" i="3"/>
  <c r="AG106" i="3"/>
  <c r="AG110" i="3"/>
  <c r="AG97" i="3"/>
  <c r="AG101" i="3"/>
  <c r="P82" i="3"/>
  <c r="AR82" i="3" s="1"/>
  <c r="P87" i="3"/>
  <c r="AR87" i="3" s="1"/>
  <c r="P92" i="3"/>
  <c r="AR92" i="3" s="1"/>
  <c r="P96" i="3"/>
  <c r="AR96" i="3" s="1"/>
  <c r="P100" i="3"/>
  <c r="AR100" i="3" s="1"/>
  <c r="P104" i="3"/>
  <c r="AR104" i="3" s="1"/>
  <c r="P108" i="3"/>
  <c r="AR108" i="3" s="1"/>
  <c r="P112" i="3"/>
  <c r="AR112" i="3" s="1"/>
  <c r="P116" i="3"/>
  <c r="AR116" i="3" s="1"/>
  <c r="P120" i="3"/>
  <c r="AR120" i="3" s="1"/>
  <c r="AG121" i="3"/>
  <c r="AG96" i="3"/>
  <c r="P86" i="3"/>
  <c r="AR86" i="3" s="1"/>
  <c r="P95" i="3"/>
  <c r="AR95" i="3" s="1"/>
  <c r="P103" i="3"/>
  <c r="AR103" i="3" s="1"/>
  <c r="P111" i="3"/>
  <c r="AR111" i="3" s="1"/>
  <c r="P119" i="3"/>
  <c r="AR119" i="3" s="1"/>
  <c r="AG115" i="3"/>
  <c r="AG119" i="3"/>
  <c r="AG113" i="3"/>
  <c r="AG107" i="3"/>
  <c r="AG111" i="3"/>
  <c r="AG94" i="3"/>
  <c r="AG98" i="3"/>
  <c r="AG102" i="3"/>
  <c r="P83" i="3"/>
  <c r="AR83" i="3" s="1"/>
  <c r="P88" i="3"/>
  <c r="AR88" i="3" s="1"/>
  <c r="P97" i="3"/>
  <c r="AR97" i="3" s="1"/>
  <c r="P101" i="3"/>
  <c r="AR101" i="3" s="1"/>
  <c r="P105" i="3"/>
  <c r="AR105" i="3" s="1"/>
  <c r="P109" i="3"/>
  <c r="AR109" i="3" s="1"/>
  <c r="P113" i="3"/>
  <c r="AR113" i="3" s="1"/>
  <c r="P117" i="3"/>
  <c r="AR117" i="3" s="1"/>
  <c r="P121" i="3"/>
  <c r="AR121" i="3" s="1"/>
  <c r="AG116" i="3"/>
  <c r="AG120" i="3"/>
  <c r="AG104" i="3"/>
  <c r="AG108" i="3"/>
  <c r="AG112" i="3"/>
  <c r="AG95" i="3"/>
  <c r="AG99" i="3"/>
  <c r="AG92" i="3"/>
  <c r="P85" i="3"/>
  <c r="AR85" i="3" s="1"/>
  <c r="P89" i="3"/>
  <c r="AR89" i="3" s="1"/>
  <c r="P94" i="3"/>
  <c r="AR94" i="3" s="1"/>
  <c r="P98" i="3"/>
  <c r="AR98" i="3" s="1"/>
  <c r="P102" i="3"/>
  <c r="AR102" i="3" s="1"/>
  <c r="P106" i="3"/>
  <c r="AR106" i="3" s="1"/>
  <c r="P110" i="3"/>
  <c r="AR110" i="3" s="1"/>
  <c r="P114" i="3"/>
  <c r="AR114" i="3" s="1"/>
  <c r="P118" i="3"/>
  <c r="AR118" i="3" s="1"/>
  <c r="P122" i="3"/>
  <c r="AR122" i="3" s="1"/>
  <c r="AG117" i="3"/>
  <c r="AG105" i="3"/>
  <c r="AG109" i="3"/>
  <c r="AG103" i="3"/>
  <c r="AG100" i="3"/>
  <c r="P90" i="3"/>
  <c r="AR90" i="3" s="1"/>
  <c r="P99" i="3"/>
  <c r="AR99" i="3" s="1"/>
  <c r="P107" i="3"/>
  <c r="AR107" i="3" s="1"/>
  <c r="P115" i="3"/>
  <c r="AR115" i="3" s="1"/>
  <c r="E98" i="3"/>
  <c r="D108" i="3"/>
  <c r="D118" i="3"/>
  <c r="D110" i="3"/>
  <c r="D102" i="3"/>
  <c r="D94" i="3"/>
  <c r="D75" i="3"/>
  <c r="D121" i="3"/>
  <c r="D117" i="3"/>
  <c r="D113" i="3"/>
  <c r="D109" i="3"/>
  <c r="D105" i="3"/>
  <c r="D101" i="3"/>
  <c r="D97" i="3"/>
  <c r="D81" i="3"/>
  <c r="D77" i="3"/>
  <c r="D73" i="3"/>
  <c r="D119" i="3"/>
  <c r="D115" i="3"/>
  <c r="D111" i="3"/>
  <c r="D107" i="3"/>
  <c r="D103" i="3"/>
  <c r="D99" i="3"/>
  <c r="D95" i="3"/>
  <c r="AW62" i="3"/>
  <c r="AX62" i="3" s="1"/>
  <c r="AW54" i="3"/>
  <c r="AX54" i="3" s="1"/>
  <c r="AW55" i="3"/>
  <c r="AW56" i="3"/>
  <c r="AX56" i="3" s="1"/>
  <c r="AW57" i="3"/>
  <c r="AX57" i="3" s="1"/>
  <c r="AW58" i="3"/>
  <c r="AX58" i="3" s="1"/>
  <c r="AW59" i="3"/>
  <c r="AX59" i="3" s="1"/>
  <c r="AW60" i="3"/>
  <c r="AX60" i="3" s="1"/>
  <c r="AW61" i="3"/>
  <c r="AW63" i="3"/>
  <c r="AX63" i="3" s="1"/>
  <c r="AW64" i="3"/>
  <c r="AW68" i="3"/>
  <c r="AX68" i="3" s="1"/>
  <c r="AW69" i="3"/>
  <c r="AX69" i="3" s="1"/>
  <c r="AW70" i="3"/>
  <c r="AX70" i="3" s="1"/>
  <c r="AW71" i="3"/>
  <c r="AX71" i="3" s="1"/>
  <c r="AW72" i="3"/>
  <c r="AX72" i="3" s="1"/>
  <c r="AW73" i="3"/>
  <c r="AX73" i="3" s="1"/>
  <c r="AW74" i="3"/>
  <c r="AX74" i="3" s="1"/>
  <c r="AW76" i="3"/>
  <c r="AW77" i="3"/>
  <c r="AW78" i="3"/>
  <c r="AW79" i="3"/>
  <c r="AX79" i="3" s="1"/>
  <c r="AW80" i="3"/>
  <c r="AW82" i="3"/>
  <c r="AW83" i="3"/>
  <c r="AW84" i="3"/>
  <c r="AX85" i="3"/>
  <c r="AW86" i="3"/>
  <c r="AW87" i="3"/>
  <c r="AX87" i="3" s="1"/>
  <c r="AW88" i="3"/>
  <c r="AX88" i="3" s="1"/>
  <c r="AW89" i="3"/>
  <c r="AX89" i="3" s="1"/>
  <c r="AW90" i="3"/>
  <c r="AW91" i="3"/>
  <c r="AW92" i="3"/>
  <c r="AW94" i="3"/>
  <c r="AW95" i="3"/>
  <c r="AW96" i="3"/>
  <c r="AW97" i="3"/>
  <c r="AW98" i="3"/>
  <c r="AW99" i="3"/>
  <c r="AW100" i="3"/>
  <c r="AW101" i="3"/>
  <c r="AW102" i="3"/>
  <c r="AW103" i="3"/>
  <c r="AW104" i="3"/>
  <c r="AW105" i="3"/>
  <c r="AX105" i="3" s="1"/>
  <c r="AW106" i="3"/>
  <c r="AW107" i="3"/>
  <c r="AW108" i="3"/>
  <c r="AW109" i="3"/>
  <c r="AW110" i="3"/>
  <c r="AW111" i="3"/>
  <c r="AW112" i="3"/>
  <c r="AW113" i="3"/>
  <c r="AW114" i="3"/>
  <c r="AW115" i="3"/>
  <c r="AW116" i="3"/>
  <c r="AW117" i="3"/>
  <c r="AW118" i="3"/>
  <c r="AW119" i="3"/>
  <c r="AW120" i="3"/>
  <c r="AW121" i="3"/>
  <c r="AX121" i="3" s="1"/>
  <c r="AW122" i="3"/>
  <c r="AW75" i="3"/>
  <c r="AX75" i="3" s="1"/>
  <c r="AS54" i="3"/>
  <c r="AV54" i="3" s="1"/>
  <c r="AS55" i="3"/>
  <c r="AV55" i="3" s="1"/>
  <c r="AS56" i="3"/>
  <c r="AV56" i="3" s="1"/>
  <c r="AS57" i="3"/>
  <c r="AV57" i="3" s="1"/>
  <c r="AS58" i="3"/>
  <c r="AV58" i="3" s="1"/>
  <c r="AS59" i="3"/>
  <c r="AV59" i="3" s="1"/>
  <c r="AS60" i="3"/>
  <c r="AV60" i="3" s="1"/>
  <c r="L60" i="3" s="1"/>
  <c r="AS62" i="3"/>
  <c r="AS63" i="3"/>
  <c r="AV63" i="3" s="1"/>
  <c r="AS64" i="3"/>
  <c r="AV64" i="3" s="1"/>
  <c r="AS68" i="3"/>
  <c r="AV68" i="3" s="1"/>
  <c r="AS69" i="3"/>
  <c r="AV69" i="3" s="1"/>
  <c r="L69" i="3" s="1"/>
  <c r="AS70" i="3"/>
  <c r="AV70" i="3" s="1"/>
  <c r="AS71" i="3"/>
  <c r="AV71" i="3" s="1"/>
  <c r="AS72" i="3"/>
  <c r="AV72" i="3" s="1"/>
  <c r="AS73" i="3"/>
  <c r="AV73" i="3" s="1"/>
  <c r="AS74" i="3"/>
  <c r="AV74" i="3" s="1"/>
  <c r="AS75" i="3"/>
  <c r="AV75" i="3" s="1"/>
  <c r="AS76" i="3"/>
  <c r="AV76" i="3" s="1"/>
  <c r="AS77" i="3"/>
  <c r="AV77" i="3" s="1"/>
  <c r="AS78" i="3"/>
  <c r="AV78" i="3" s="1"/>
  <c r="AS79" i="3"/>
  <c r="AV79" i="3" s="1"/>
  <c r="AS80" i="3"/>
  <c r="AV80" i="3" s="1"/>
  <c r="AS81" i="3"/>
  <c r="AV81" i="3" s="1"/>
  <c r="AS82" i="3"/>
  <c r="AV82" i="3" s="1"/>
  <c r="AS83" i="3"/>
  <c r="AS84" i="3"/>
  <c r="AV84" i="3" s="1"/>
  <c r="AS85" i="3"/>
  <c r="AS86" i="3"/>
  <c r="AV86" i="3" s="1"/>
  <c r="AS87" i="3"/>
  <c r="AV87" i="3" s="1"/>
  <c r="AS88" i="3"/>
  <c r="AV88" i="3" s="1"/>
  <c r="AS89" i="3"/>
  <c r="AV89" i="3" s="1"/>
  <c r="AS90" i="3"/>
  <c r="AV90" i="3" s="1"/>
  <c r="AS91" i="3"/>
  <c r="AV91" i="3" s="1"/>
  <c r="AS93" i="3"/>
  <c r="AV93" i="3" s="1"/>
  <c r="AS94" i="3"/>
  <c r="AV94" i="3" s="1"/>
  <c r="AS95" i="3"/>
  <c r="AV95" i="3" s="1"/>
  <c r="AS96" i="3"/>
  <c r="AV96" i="3" s="1"/>
  <c r="AS97" i="3"/>
  <c r="AV97" i="3" s="1"/>
  <c r="AS98" i="3"/>
  <c r="AV98" i="3" s="1"/>
  <c r="AS99" i="3"/>
  <c r="AV99" i="3" s="1"/>
  <c r="AS100" i="3"/>
  <c r="AV100" i="3" s="1"/>
  <c r="AS101" i="3"/>
  <c r="AV101" i="3" s="1"/>
  <c r="AS102" i="3"/>
  <c r="AV102" i="3" s="1"/>
  <c r="AS103" i="3"/>
  <c r="AV103" i="3" s="1"/>
  <c r="AS104" i="3"/>
  <c r="AV104" i="3" s="1"/>
  <c r="AS105" i="3"/>
  <c r="AS106" i="3"/>
  <c r="AV106" i="3" s="1"/>
  <c r="AS107" i="3"/>
  <c r="AV107" i="3" s="1"/>
  <c r="AS108" i="3"/>
  <c r="AV108" i="3" s="1"/>
  <c r="AS109" i="3"/>
  <c r="AV109" i="3" s="1"/>
  <c r="AS110" i="3"/>
  <c r="AV110" i="3" s="1"/>
  <c r="AS111" i="3"/>
  <c r="AV111" i="3" s="1"/>
  <c r="AS112" i="3"/>
  <c r="AV112" i="3" s="1"/>
  <c r="AS113" i="3"/>
  <c r="AV113" i="3" s="1"/>
  <c r="AS114" i="3"/>
  <c r="AV114" i="3" s="1"/>
  <c r="AS115" i="3"/>
  <c r="AV115" i="3" s="1"/>
  <c r="AS116" i="3"/>
  <c r="AV116" i="3" s="1"/>
  <c r="AS117" i="3"/>
  <c r="AV117" i="3" s="1"/>
  <c r="AS118" i="3"/>
  <c r="AV118" i="3" s="1"/>
  <c r="AS119" i="3"/>
  <c r="AV119" i="3" s="1"/>
  <c r="AS120" i="3"/>
  <c r="AV120" i="3" s="1"/>
  <c r="AS121" i="3"/>
  <c r="AV121" i="3" s="1"/>
  <c r="AS122" i="3"/>
  <c r="AV122" i="3" s="1"/>
  <c r="AS92" i="3"/>
  <c r="AV92" i="3" s="1"/>
  <c r="E116" i="3" l="1"/>
  <c r="M90" i="3"/>
  <c r="R90" i="3"/>
  <c r="R87" i="3"/>
  <c r="M87" i="3"/>
  <c r="R89" i="3"/>
  <c r="M89" i="3"/>
  <c r="M85" i="3"/>
  <c r="R85" i="3"/>
  <c r="R88" i="3"/>
  <c r="M88" i="3"/>
  <c r="M86" i="3"/>
  <c r="R86" i="3"/>
  <c r="M61" i="3"/>
  <c r="AX61" i="3"/>
  <c r="L61" i="3" s="1"/>
  <c r="Q61" i="3"/>
  <c r="L63" i="3"/>
  <c r="Q120" i="3"/>
  <c r="Q80" i="3"/>
  <c r="L75" i="3"/>
  <c r="Q116" i="3"/>
  <c r="Q104" i="3"/>
  <c r="Q78" i="3"/>
  <c r="L121" i="3"/>
  <c r="E92" i="3"/>
  <c r="E93" i="3"/>
  <c r="E117" i="3"/>
  <c r="E95" i="3"/>
  <c r="Q93" i="3"/>
  <c r="Q64" i="3"/>
  <c r="Q77" i="3"/>
  <c r="E99" i="3"/>
  <c r="Q76" i="3"/>
  <c r="AX120" i="3"/>
  <c r="L120" i="3" s="1"/>
  <c r="Q100" i="3"/>
  <c r="AX76" i="3"/>
  <c r="Q121" i="3"/>
  <c r="Q109" i="3"/>
  <c r="E101" i="3"/>
  <c r="AX80" i="3"/>
  <c r="AX115" i="3"/>
  <c r="L115" i="3" s="1"/>
  <c r="Q115" i="3"/>
  <c r="AX114" i="3"/>
  <c r="L114" i="3" s="1"/>
  <c r="Q114" i="3"/>
  <c r="AX92" i="3"/>
  <c r="L92" i="3" s="1"/>
  <c r="Q92" i="3"/>
  <c r="AX113" i="3"/>
  <c r="L113" i="3" s="1"/>
  <c r="Q113" i="3"/>
  <c r="AX99" i="3"/>
  <c r="L99" i="3" s="1"/>
  <c r="Q99" i="3"/>
  <c r="AX122" i="3"/>
  <c r="L122" i="3" s="1"/>
  <c r="Q122" i="3"/>
  <c r="AX116" i="3"/>
  <c r="L116" i="3" s="1"/>
  <c r="AX97" i="3"/>
  <c r="L97" i="3" s="1"/>
  <c r="Q97" i="3"/>
  <c r="Q72" i="3"/>
  <c r="Q57" i="3"/>
  <c r="AX109" i="3"/>
  <c r="L109" i="3" s="1"/>
  <c r="AX103" i="3"/>
  <c r="L103" i="3" s="1"/>
  <c r="Q103" i="3"/>
  <c r="AX102" i="3"/>
  <c r="L102" i="3" s="1"/>
  <c r="Q102" i="3"/>
  <c r="Q71" i="3"/>
  <c r="AX110" i="3"/>
  <c r="L110" i="3" s="1"/>
  <c r="Q110" i="3"/>
  <c r="AX108" i="3"/>
  <c r="L108" i="3" s="1"/>
  <c r="Q108" i="3"/>
  <c r="AX96" i="3"/>
  <c r="L96" i="3" s="1"/>
  <c r="Q96" i="3"/>
  <c r="AX111" i="3"/>
  <c r="L111" i="3" s="1"/>
  <c r="Q111" i="3"/>
  <c r="AX98" i="3"/>
  <c r="L98" i="3" s="1"/>
  <c r="Q98" i="3"/>
  <c r="AX119" i="3"/>
  <c r="L119" i="3" s="1"/>
  <c r="Q119" i="3"/>
  <c r="AX107" i="3"/>
  <c r="L107" i="3" s="1"/>
  <c r="Q107" i="3"/>
  <c r="AX95" i="3"/>
  <c r="L95" i="3" s="1"/>
  <c r="Q95" i="3"/>
  <c r="Q55" i="3"/>
  <c r="AX104" i="3"/>
  <c r="L104" i="3" s="1"/>
  <c r="AX112" i="3"/>
  <c r="L112" i="3" s="1"/>
  <c r="Q112" i="3"/>
  <c r="AX118" i="3"/>
  <c r="L118" i="3" s="1"/>
  <c r="Q118" i="3"/>
  <c r="AX106" i="3"/>
  <c r="L106" i="3" s="1"/>
  <c r="Q106" i="3"/>
  <c r="AX94" i="3"/>
  <c r="L94" i="3" s="1"/>
  <c r="Q94" i="3"/>
  <c r="Q82" i="3"/>
  <c r="AX100" i="3"/>
  <c r="L100" i="3" s="1"/>
  <c r="AX101" i="3"/>
  <c r="L101" i="3" s="1"/>
  <c r="Q101" i="3"/>
  <c r="AV62" i="3"/>
  <c r="Q62" i="3"/>
  <c r="AX117" i="3"/>
  <c r="L117" i="3" s="1"/>
  <c r="Q117" i="3"/>
  <c r="Q81" i="3"/>
  <c r="AX93" i="3"/>
  <c r="L93" i="3" s="1"/>
  <c r="AV105" i="3"/>
  <c r="L105" i="3" s="1"/>
  <c r="Q105" i="3"/>
  <c r="E94" i="3"/>
  <c r="E119" i="3"/>
  <c r="E97" i="3"/>
  <c r="E109" i="3"/>
  <c r="E100" i="3"/>
  <c r="E114" i="3"/>
  <c r="E121" i="3"/>
  <c r="E105" i="3"/>
  <c r="E103" i="3"/>
  <c r="E113" i="3"/>
  <c r="E122" i="3"/>
  <c r="E107" i="3"/>
  <c r="E106" i="3"/>
  <c r="E115" i="3"/>
  <c r="E104" i="3"/>
  <c r="E111" i="3"/>
  <c r="E83" i="3"/>
  <c r="E120" i="3"/>
  <c r="E110" i="3"/>
  <c r="E102" i="3"/>
  <c r="E108" i="3"/>
  <c r="E96" i="3"/>
  <c r="E118" i="3"/>
  <c r="E112" i="3"/>
  <c r="AV83" i="3"/>
  <c r="AX91" i="3"/>
  <c r="AX84" i="3"/>
  <c r="AX83" i="3"/>
  <c r="Q79" i="3"/>
  <c r="Q70" i="3"/>
  <c r="Q59" i="3"/>
  <c r="AX64" i="3"/>
  <c r="AX55" i="3"/>
  <c r="AX90" i="3"/>
  <c r="AX86" i="3"/>
  <c r="AX82" i="3"/>
  <c r="AX78" i="3"/>
  <c r="Q73" i="3"/>
  <c r="Q69" i="3"/>
  <c r="Q58" i="3"/>
  <c r="Q75" i="3"/>
  <c r="Q63" i="3"/>
  <c r="Q54" i="3"/>
  <c r="AX81" i="3"/>
  <c r="L81" i="3" s="1"/>
  <c r="AX77" i="3"/>
  <c r="Q60" i="3"/>
  <c r="AT56" i="3"/>
  <c r="AT74" i="3"/>
  <c r="AT84" i="3"/>
  <c r="AT85" i="3"/>
  <c r="AT86" i="3"/>
  <c r="AT87" i="3"/>
  <c r="AT88" i="3"/>
  <c r="AT89" i="3"/>
  <c r="AT90" i="3"/>
  <c r="AT91" i="3"/>
  <c r="M100" i="3"/>
  <c r="M101" i="3"/>
  <c r="M108" i="3"/>
  <c r="M109" i="3"/>
  <c r="M116" i="3"/>
  <c r="M117" i="3"/>
  <c r="M118" i="3"/>
  <c r="M119" i="3"/>
  <c r="M120" i="3"/>
  <c r="M121" i="3"/>
  <c r="M122" i="3"/>
  <c r="M99" i="3"/>
  <c r="M102" i="3"/>
  <c r="M103" i="3"/>
  <c r="M104" i="3"/>
  <c r="M105" i="3"/>
  <c r="M106" i="3"/>
  <c r="M107" i="3"/>
  <c r="M110" i="3"/>
  <c r="M111" i="3"/>
  <c r="M112" i="3"/>
  <c r="M113" i="3"/>
  <c r="M114" i="3"/>
  <c r="M115" i="3"/>
  <c r="L83" i="3" l="1"/>
  <c r="P80" i="3"/>
  <c r="AR80" i="3" s="1"/>
  <c r="AU114" i="3"/>
  <c r="AU115" i="3"/>
  <c r="AU116" i="3"/>
  <c r="AU117" i="3"/>
  <c r="AU118" i="3"/>
  <c r="AU119" i="3"/>
  <c r="AU120" i="3"/>
  <c r="AU121" i="3"/>
  <c r="AU122" i="3"/>
  <c r="AU113" i="3"/>
  <c r="AU104" i="3"/>
  <c r="AU105" i="3"/>
  <c r="AU106" i="3"/>
  <c r="AU107" i="3"/>
  <c r="AU108" i="3"/>
  <c r="AU109" i="3"/>
  <c r="AU110" i="3"/>
  <c r="AU111" i="3"/>
  <c r="AU112" i="3"/>
  <c r="AU103" i="3"/>
  <c r="AU93" i="3"/>
  <c r="AU94" i="3"/>
  <c r="AU95" i="3"/>
  <c r="AU96" i="3"/>
  <c r="AU97" i="3"/>
  <c r="AU98" i="3"/>
  <c r="AU99" i="3"/>
  <c r="AU100" i="3"/>
  <c r="AU101" i="3"/>
  <c r="AU102" i="3"/>
  <c r="AU92" i="3"/>
  <c r="P6" i="3"/>
  <c r="N9" i="6" l="1"/>
  <c r="N7" i="6"/>
  <c r="D24" i="12"/>
  <c r="C24" i="12"/>
  <c r="D23" i="12"/>
  <c r="C23" i="12"/>
  <c r="D22" i="12"/>
  <c r="C22" i="12"/>
  <c r="C21" i="12"/>
  <c r="J6" i="6" l="1"/>
  <c r="AU73" i="3"/>
  <c r="B40" i="5"/>
  <c r="W9" i="5"/>
  <c r="AC39" i="5"/>
  <c r="Y39" i="5"/>
  <c r="AA39" i="5"/>
  <c r="AK39" i="5"/>
  <c r="K2" i="5"/>
  <c r="S82" i="3"/>
  <c r="S79" i="3"/>
  <c r="D64" i="3"/>
  <c r="E73" i="3"/>
  <c r="G60" i="3"/>
  <c r="G54" i="3"/>
  <c r="G55" i="3"/>
  <c r="G57" i="3"/>
  <c r="G59" i="3"/>
  <c r="G61" i="3"/>
  <c r="G62" i="3"/>
  <c r="G63" i="3"/>
  <c r="D69" i="3"/>
  <c r="I23" i="5" s="1"/>
  <c r="D70" i="3"/>
  <c r="S60" i="3"/>
  <c r="S81" i="3"/>
  <c r="G58" i="3"/>
  <c r="R9" i="6"/>
  <c r="Q9" i="6"/>
  <c r="P9" i="6"/>
  <c r="O9" i="6"/>
  <c r="R7" i="6"/>
  <c r="Q7" i="6"/>
  <c r="P7" i="6"/>
  <c r="O7" i="6"/>
  <c r="AI39" i="5"/>
  <c r="AH11" i="5"/>
  <c r="AG11" i="5"/>
  <c r="AJ39" i="5" s="1"/>
  <c r="AE11" i="5"/>
  <c r="T37" i="5"/>
  <c r="T38" i="5"/>
  <c r="S37" i="5"/>
  <c r="U38" i="5"/>
  <c r="Q38" i="5"/>
  <c r="Q37" i="5"/>
  <c r="P38" i="5"/>
  <c r="N38" i="5"/>
  <c r="M37" i="5"/>
  <c r="L38" i="5"/>
  <c r="K38" i="5"/>
  <c r="H37" i="5"/>
  <c r="V37" i="5" s="1"/>
  <c r="AL37" i="5" s="1"/>
  <c r="AI18" i="5"/>
  <c r="AF10" i="5" s="1"/>
  <c r="U29" i="5"/>
  <c r="U30" i="5"/>
  <c r="U31" i="5"/>
  <c r="U28" i="5"/>
  <c r="T29" i="5"/>
  <c r="T30" i="5"/>
  <c r="T31" i="5"/>
  <c r="T28" i="5"/>
  <c r="S29" i="5"/>
  <c r="S30" i="5"/>
  <c r="S31" i="5"/>
  <c r="S28" i="5"/>
  <c r="S23" i="5"/>
  <c r="Q29" i="5"/>
  <c r="Q30" i="5"/>
  <c r="Q31" i="5"/>
  <c r="Q28" i="5"/>
  <c r="K30" i="5"/>
  <c r="K31" i="5"/>
  <c r="I29" i="5"/>
  <c r="I30" i="5"/>
  <c r="I31" i="5"/>
  <c r="I28" i="5"/>
  <c r="U21" i="5"/>
  <c r="U22" i="5"/>
  <c r="U23" i="5"/>
  <c r="U24" i="5"/>
  <c r="U20" i="5"/>
  <c r="T21" i="5"/>
  <c r="T22" i="5"/>
  <c r="T23" i="5"/>
  <c r="T24" i="5"/>
  <c r="T20" i="5"/>
  <c r="S22" i="5"/>
  <c r="S24" i="5"/>
  <c r="Q21" i="5"/>
  <c r="Q22" i="5"/>
  <c r="Q23" i="5"/>
  <c r="Q24" i="5"/>
  <c r="Q20" i="5"/>
  <c r="N24" i="5"/>
  <c r="K24" i="5"/>
  <c r="I22" i="5"/>
  <c r="I24" i="5"/>
  <c r="U18" i="5"/>
  <c r="AK18" i="5" s="1"/>
  <c r="AL39" i="5"/>
  <c r="S83" i="3"/>
  <c r="S76" i="3"/>
  <c r="S55" i="3"/>
  <c r="S57" i="3"/>
  <c r="S58" i="3"/>
  <c r="S59" i="3"/>
  <c r="S61" i="3"/>
  <c r="S62" i="3"/>
  <c r="S63" i="3"/>
  <c r="S64" i="3"/>
  <c r="S69" i="3"/>
  <c r="S70" i="3"/>
  <c r="S71" i="3"/>
  <c r="S72" i="3"/>
  <c r="S75" i="3"/>
  <c r="S77" i="3"/>
  <c r="S78" i="3"/>
  <c r="S80" i="3"/>
  <c r="S85" i="3"/>
  <c r="S86" i="3"/>
  <c r="S87" i="3"/>
  <c r="S54" i="3"/>
  <c r="K14" i="6"/>
  <c r="H14" i="6"/>
  <c r="I14" i="6"/>
  <c r="J14" i="6"/>
  <c r="G14" i="6"/>
  <c r="F14" i="6"/>
  <c r="E14" i="6"/>
  <c r="N14" i="6" s="1"/>
  <c r="AF18" i="5"/>
  <c r="AG18" i="5"/>
  <c r="H20" i="5"/>
  <c r="V20" i="5" s="1"/>
  <c r="AL20" i="5" s="1"/>
  <c r="Y18" i="5"/>
  <c r="D20" i="5"/>
  <c r="F20" i="5"/>
  <c r="D61" i="3" l="1"/>
  <c r="D58" i="3"/>
  <c r="D55" i="3"/>
  <c r="D54" i="3"/>
  <c r="P20" i="5"/>
  <c r="D63" i="3"/>
  <c r="D62" i="3"/>
  <c r="I20" i="5" s="1"/>
  <c r="D57" i="3"/>
  <c r="D59" i="3"/>
  <c r="D60" i="3"/>
  <c r="P28" i="5"/>
  <c r="P30" i="5"/>
  <c r="J18" i="5"/>
  <c r="Z18" i="5" s="1"/>
  <c r="N18" i="5"/>
  <c r="P29" i="5"/>
  <c r="P37" i="5"/>
  <c r="J38" i="5"/>
  <c r="P31" i="5"/>
  <c r="N5" i="6"/>
  <c r="Y45" i="5"/>
  <c r="P24" i="5"/>
  <c r="Z15" i="5"/>
  <c r="P21" i="5"/>
  <c r="P23" i="5"/>
  <c r="L24" i="5"/>
  <c r="I38" i="5"/>
  <c r="I21" i="5" l="1"/>
  <c r="AG57" i="3"/>
  <c r="AT111" i="3"/>
  <c r="R111" i="3" s="1"/>
  <c r="AG83" i="3"/>
  <c r="AT83" i="3" s="1"/>
  <c r="AG58" i="3"/>
  <c r="AT112" i="3"/>
  <c r="R112" i="3" s="1"/>
  <c r="AG62" i="3"/>
  <c r="AG59" i="3"/>
  <c r="AG63" i="3"/>
  <c r="AG73" i="3"/>
  <c r="AG60" i="3"/>
  <c r="AG64" i="3"/>
  <c r="AG75" i="3"/>
  <c r="AT75" i="3" s="1"/>
  <c r="AG76" i="3"/>
  <c r="AT113" i="3"/>
  <c r="R113" i="3" s="1"/>
  <c r="AG79" i="3"/>
  <c r="AG77" i="3"/>
  <c r="AG54" i="3"/>
  <c r="AG69" i="3"/>
  <c r="AG78" i="3"/>
  <c r="AT114" i="3"/>
  <c r="R114" i="3" s="1"/>
  <c r="AG70" i="3"/>
  <c r="AG71" i="3"/>
  <c r="AG80" i="3"/>
  <c r="AT80" i="3" s="1"/>
  <c r="AT115" i="3"/>
  <c r="R115" i="3" s="1"/>
  <c r="AT108" i="3"/>
  <c r="R108" i="3" s="1"/>
  <c r="AG72" i="3"/>
  <c r="AT109" i="3"/>
  <c r="R109" i="3" s="1"/>
  <c r="AG81" i="3"/>
  <c r="AT81" i="3" s="1"/>
  <c r="AG55" i="3"/>
  <c r="AT110" i="3"/>
  <c r="R110" i="3" s="1"/>
  <c r="P58" i="3"/>
  <c r="AR58" i="3" s="1"/>
  <c r="AU80" i="3"/>
  <c r="AU83" i="3"/>
  <c r="AU82" i="3"/>
  <c r="AU81" i="3"/>
  <c r="AU79" i="3"/>
  <c r="AU78" i="3"/>
  <c r="AU77" i="3"/>
  <c r="AU76" i="3"/>
  <c r="AU75" i="3"/>
  <c r="AU64" i="3"/>
  <c r="AU69" i="3"/>
  <c r="AU70" i="3"/>
  <c r="AU71" i="3"/>
  <c r="AU72" i="3"/>
  <c r="AU63" i="3"/>
  <c r="AU62" i="3"/>
  <c r="AU60" i="3"/>
  <c r="AU59" i="3"/>
  <c r="AU58" i="3"/>
  <c r="AU57" i="3"/>
  <c r="AU55" i="3"/>
  <c r="AU54" i="3"/>
  <c r="M6" i="3"/>
  <c r="M92" i="3"/>
  <c r="M93" i="3"/>
  <c r="M94" i="3"/>
  <c r="M95" i="3"/>
  <c r="M96" i="3"/>
  <c r="M97" i="3"/>
  <c r="E90" i="3"/>
  <c r="P63" i="3"/>
  <c r="AR63" i="3" s="1"/>
  <c r="P69" i="3"/>
  <c r="AR69" i="3" s="1"/>
  <c r="P78" i="3"/>
  <c r="AT6" i="3"/>
  <c r="E82" i="3"/>
  <c r="P55" i="3"/>
  <c r="AR55" i="3" s="1"/>
  <c r="P62" i="3"/>
  <c r="AR62" i="3" s="1"/>
  <c r="P57" i="3"/>
  <c r="P77" i="3"/>
  <c r="AR77" i="3" s="1"/>
  <c r="AR6" i="3"/>
  <c r="P54" i="3"/>
  <c r="AR54" i="3" s="1"/>
  <c r="P72" i="3"/>
  <c r="AR72" i="3" s="1"/>
  <c r="P76" i="3"/>
  <c r="AR76" i="3" s="1"/>
  <c r="P81" i="3"/>
  <c r="AR81" i="3" s="1"/>
  <c r="E86" i="3"/>
  <c r="E80" i="3"/>
  <c r="P60" i="3"/>
  <c r="AR60" i="3" s="1"/>
  <c r="P71" i="3"/>
  <c r="AR71" i="3" s="1"/>
  <c r="P75" i="3"/>
  <c r="AR75" i="3" s="1"/>
  <c r="E6" i="3"/>
  <c r="R6" i="3"/>
  <c r="I5" i="3"/>
  <c r="P64" i="3"/>
  <c r="AR64" i="3" s="1"/>
  <c r="P59" i="3"/>
  <c r="P70" i="3"/>
  <c r="P79" i="3"/>
  <c r="J24" i="5"/>
  <c r="AT82" i="3" l="1"/>
  <c r="R82" i="3" s="1"/>
  <c r="M82" i="3"/>
  <c r="AR57" i="3"/>
  <c r="M57" i="3" s="1"/>
  <c r="E78" i="3"/>
  <c r="AR78" i="3"/>
  <c r="E79" i="3"/>
  <c r="AR79" i="3"/>
  <c r="M79" i="3" s="1"/>
  <c r="E70" i="3"/>
  <c r="AR70" i="3"/>
  <c r="M70" i="3" s="1"/>
  <c r="AR59" i="3"/>
  <c r="M59" i="3" s="1"/>
  <c r="M55" i="3"/>
  <c r="M62" i="3"/>
  <c r="M60" i="3"/>
  <c r="E76" i="3"/>
  <c r="M71" i="3"/>
  <c r="M64" i="3"/>
  <c r="E75" i="3"/>
  <c r="E72" i="3"/>
  <c r="M72" i="3"/>
  <c r="M77" i="3"/>
  <c r="M69" i="3"/>
  <c r="M54" i="3"/>
  <c r="R81" i="3"/>
  <c r="M58" i="3"/>
  <c r="L21" i="5" s="1"/>
  <c r="E58" i="3"/>
  <c r="M81" i="3"/>
  <c r="M83" i="3"/>
  <c r="R83" i="3"/>
  <c r="M80" i="3"/>
  <c r="AT73" i="3"/>
  <c r="M73" i="3"/>
  <c r="M75" i="3"/>
  <c r="M76" i="3"/>
  <c r="E81" i="3"/>
  <c r="E77" i="3"/>
  <c r="J37" i="5"/>
  <c r="AT117" i="3"/>
  <c r="R117" i="3" s="1"/>
  <c r="AT116" i="3"/>
  <c r="R116" i="3" s="1"/>
  <c r="L78" i="3"/>
  <c r="AT78" i="3"/>
  <c r="L76" i="3"/>
  <c r="AT76" i="3"/>
  <c r="R61" i="3"/>
  <c r="L57" i="3"/>
  <c r="AT57" i="3"/>
  <c r="L55" i="3"/>
  <c r="AT55" i="3"/>
  <c r="AT105" i="3"/>
  <c r="R105" i="3" s="1"/>
  <c r="K23" i="5"/>
  <c r="AT69" i="3"/>
  <c r="L54" i="3"/>
  <c r="AT54" i="3"/>
  <c r="AT98" i="3"/>
  <c r="AT100" i="3"/>
  <c r="R100" i="3" s="1"/>
  <c r="AT63" i="3"/>
  <c r="L59" i="3"/>
  <c r="AT59" i="3"/>
  <c r="AT119" i="3"/>
  <c r="R119" i="3" s="1"/>
  <c r="AT93" i="3"/>
  <c r="R93" i="3" s="1"/>
  <c r="L72" i="3"/>
  <c r="AT72" i="3"/>
  <c r="L71" i="3"/>
  <c r="AT71" i="3"/>
  <c r="AT106" i="3"/>
  <c r="R106" i="3" s="1"/>
  <c r="AT107" i="3"/>
  <c r="R107" i="3" s="1"/>
  <c r="L77" i="3"/>
  <c r="AT77" i="3"/>
  <c r="AT102" i="3"/>
  <c r="R102" i="3" s="1"/>
  <c r="AT97" i="3"/>
  <c r="R97" i="3" s="1"/>
  <c r="L64" i="3"/>
  <c r="AT64" i="3"/>
  <c r="AT121" i="3"/>
  <c r="R121" i="3" s="1"/>
  <c r="L62" i="3"/>
  <c r="K20" i="5" s="1"/>
  <c r="AT62" i="3"/>
  <c r="R62" i="3" s="1"/>
  <c r="L58" i="3"/>
  <c r="AT58" i="3"/>
  <c r="AT95" i="3"/>
  <c r="R95" i="3" s="1"/>
  <c r="AT104" i="3"/>
  <c r="R104" i="3" s="1"/>
  <c r="L79" i="3"/>
  <c r="AT79" i="3"/>
  <c r="AT122" i="3"/>
  <c r="R122" i="3" s="1"/>
  <c r="AT120" i="3"/>
  <c r="R120" i="3" s="1"/>
  <c r="M78" i="3"/>
  <c r="E63" i="3"/>
  <c r="M63" i="3"/>
  <c r="M98" i="3"/>
  <c r="L70" i="3"/>
  <c r="AT70" i="3"/>
  <c r="AT99" i="3"/>
  <c r="R99" i="3" s="1"/>
  <c r="AT68" i="3"/>
  <c r="AT101" i="3"/>
  <c r="R101" i="3" s="1"/>
  <c r="AT96" i="3"/>
  <c r="R96" i="3" s="1"/>
  <c r="AT60" i="3"/>
  <c r="R60" i="3" s="1"/>
  <c r="AT103" i="3"/>
  <c r="R103" i="3" s="1"/>
  <c r="AT94" i="3"/>
  <c r="R94" i="3" s="1"/>
  <c r="AT118" i="3"/>
  <c r="R118" i="3" s="1"/>
  <c r="L80" i="3"/>
  <c r="E59" i="3"/>
  <c r="E69" i="3"/>
  <c r="E60" i="3"/>
  <c r="E61" i="3"/>
  <c r="E64" i="3"/>
  <c r="E62" i="3"/>
  <c r="J20" i="5" s="1"/>
  <c r="E54" i="3"/>
  <c r="E57" i="3"/>
  <c r="E71" i="3"/>
  <c r="J30" i="5"/>
  <c r="E55" i="3"/>
  <c r="J31" i="5"/>
  <c r="L73" i="3"/>
  <c r="AT92" i="3"/>
  <c r="R92" i="3" s="1"/>
  <c r="K29" i="5"/>
  <c r="K22" i="5"/>
  <c r="K37" i="5"/>
  <c r="L23" i="5"/>
  <c r="AA11" i="5"/>
  <c r="L37" i="5" l="1"/>
  <c r="K28" i="5"/>
  <c r="K21" i="5"/>
  <c r="J21" i="5"/>
  <c r="R63" i="3"/>
  <c r="R98" i="3"/>
  <c r="R80" i="3"/>
  <c r="R69" i="3"/>
  <c r="N23" i="5" s="1"/>
  <c r="R55" i="3"/>
  <c r="N31" i="5"/>
  <c r="R57" i="3"/>
  <c r="R77" i="3"/>
  <c r="R75" i="3"/>
  <c r="L30" i="5"/>
  <c r="R78" i="3"/>
  <c r="R76" i="3"/>
  <c r="R79" i="3"/>
  <c r="R71" i="3"/>
  <c r="R72" i="3"/>
  <c r="R54" i="3"/>
  <c r="R64" i="3"/>
  <c r="R59" i="3"/>
  <c r="N37" i="5"/>
  <c r="N29" i="5"/>
  <c r="J29" i="5"/>
  <c r="L31" i="5"/>
  <c r="J22" i="5"/>
  <c r="L28" i="5"/>
  <c r="L22" i="5"/>
  <c r="J23" i="5"/>
  <c r="N20" i="5"/>
  <c r="L20" i="5"/>
  <c r="J28" i="5"/>
  <c r="L29" i="5"/>
  <c r="X32" i="5"/>
  <c r="H38" i="5"/>
  <c r="H31" i="5"/>
  <c r="H30" i="5"/>
  <c r="H21" i="5"/>
  <c r="H22" i="5"/>
  <c r="V22" i="5" s="1"/>
  <c r="AL22" i="5" s="1"/>
  <c r="H23" i="5"/>
  <c r="V23" i="5" s="1"/>
  <c r="AL23" i="5" s="1"/>
  <c r="H24" i="5"/>
  <c r="V24" i="5" s="1"/>
  <c r="AL24" i="5" s="1"/>
  <c r="N30" i="5" l="1"/>
  <c r="N28" i="5"/>
  <c r="N22" i="5"/>
  <c r="V21" i="5"/>
  <c r="AL21" i="5" s="1"/>
  <c r="AL25" i="5" s="1"/>
  <c r="W21" i="5"/>
  <c r="AE21" i="5" l="1"/>
  <c r="AH21" i="5"/>
  <c r="V25" i="5"/>
  <c r="AK21" i="5"/>
  <c r="AJ21" i="5"/>
  <c r="AI21" i="5"/>
  <c r="D38" i="5" l="1"/>
  <c r="D31" i="5"/>
  <c r="D30" i="5"/>
  <c r="D24" i="5"/>
  <c r="D23" i="5"/>
  <c r="D22" i="5"/>
  <c r="D21" i="5"/>
  <c r="F21" i="5"/>
  <c r="F22" i="5"/>
  <c r="AF39" i="5"/>
  <c r="AB11" i="5"/>
  <c r="AD18" i="5"/>
  <c r="AC18" i="5"/>
  <c r="AB18" i="5"/>
  <c r="M22" i="5"/>
  <c r="M38" i="5"/>
  <c r="V32" i="5"/>
  <c r="D29" i="6"/>
  <c r="C29" i="6"/>
  <c r="W32" i="5" l="1"/>
  <c r="AL32" i="5"/>
  <c r="M31" i="5"/>
  <c r="M23" i="5"/>
  <c r="M24" i="5"/>
  <c r="M30" i="5"/>
  <c r="M20" i="5"/>
  <c r="M21" i="5"/>
  <c r="AE50" i="5" l="1"/>
  <c r="AD50" i="5"/>
  <c r="D29" i="5" l="1"/>
  <c r="D28" i="5"/>
  <c r="T11" i="6" l="1"/>
  <c r="O15" i="6"/>
  <c r="P15" i="6"/>
  <c r="Q15" i="6"/>
  <c r="R15" i="6"/>
  <c r="S15" i="6"/>
  <c r="T15" i="6"/>
  <c r="T6" i="6" s="1"/>
  <c r="N15" i="6"/>
  <c r="O14" i="6"/>
  <c r="P14" i="6"/>
  <c r="Q14" i="6"/>
  <c r="R14" i="6"/>
  <c r="S14" i="6"/>
  <c r="T14" i="6"/>
  <c r="T5" i="6" l="1"/>
  <c r="AC45" i="5"/>
  <c r="AB45" i="5"/>
  <c r="AA45" i="5"/>
  <c r="Z45" i="5"/>
  <c r="AE46" i="5"/>
  <c r="S36" i="6"/>
  <c r="T36" i="6"/>
  <c r="Q36" i="6"/>
  <c r="O36" i="6"/>
  <c r="AD45" i="5"/>
  <c r="R36" i="6"/>
  <c r="P36" i="6"/>
  <c r="AE45" i="5"/>
  <c r="R6" i="6" l="1"/>
  <c r="R5" i="6"/>
  <c r="A42" i="6" l="1"/>
  <c r="W20" i="5" l="1"/>
  <c r="AE20" i="5" l="1"/>
  <c r="AH20" i="5"/>
  <c r="AC20" i="5"/>
  <c r="AK20" i="5"/>
  <c r="AJ20" i="5"/>
  <c r="AI20" i="5"/>
  <c r="Y20" i="5"/>
  <c r="AD20" i="5"/>
  <c r="AG20" i="5"/>
  <c r="AF20" i="5"/>
  <c r="AB20" i="5"/>
  <c r="D37" i="5"/>
  <c r="X20" i="5"/>
  <c r="F38" i="5"/>
  <c r="F23" i="5" l="1"/>
  <c r="F24" i="5"/>
  <c r="F6" i="6"/>
  <c r="H6" i="6"/>
  <c r="I6" i="6"/>
  <c r="N6" i="6"/>
  <c r="O6" i="6"/>
  <c r="P6" i="6"/>
  <c r="Q6" i="6"/>
  <c r="S6" i="6"/>
  <c r="L14" i="6"/>
  <c r="M14" i="6"/>
  <c r="O5" i="6"/>
  <c r="P5" i="6"/>
  <c r="Q5" i="6"/>
  <c r="S5" i="6"/>
  <c r="L15" i="6"/>
  <c r="M15" i="6"/>
  <c r="B17" i="6"/>
  <c r="B19" i="6"/>
  <c r="B26" i="6"/>
  <c r="B20" i="6"/>
  <c r="B25" i="6"/>
  <c r="B27" i="6"/>
  <c r="B28" i="6"/>
  <c r="B29" i="6"/>
  <c r="B34" i="6"/>
  <c r="B35" i="6"/>
  <c r="L36" i="6"/>
  <c r="M36" i="6"/>
  <c r="Y11" i="5"/>
  <c r="B18" i="5"/>
  <c r="B39" i="5" s="1"/>
  <c r="AG39" i="5"/>
  <c r="W22" i="5"/>
  <c r="W24" i="5"/>
  <c r="AH24" i="5" l="1"/>
  <c r="AE24" i="5"/>
  <c r="AH22" i="5"/>
  <c r="AE22" i="5"/>
  <c r="I25" i="6"/>
  <c r="F25" i="6"/>
  <c r="J25" i="6"/>
  <c r="K25" i="6"/>
  <c r="H25" i="6"/>
  <c r="E25" i="6"/>
  <c r="G25" i="6"/>
  <c r="G20" i="6"/>
  <c r="F20" i="6"/>
  <c r="J20" i="6"/>
  <c r="E20" i="6"/>
  <c r="K20" i="6"/>
  <c r="I20" i="6"/>
  <c r="H20" i="6"/>
  <c r="H26" i="6"/>
  <c r="E26" i="6"/>
  <c r="I26" i="6"/>
  <c r="K26" i="6"/>
  <c r="J26" i="6"/>
  <c r="F26" i="6"/>
  <c r="G26" i="6"/>
  <c r="J19" i="6"/>
  <c r="F19" i="6"/>
  <c r="E19" i="6"/>
  <c r="H19" i="6"/>
  <c r="K19" i="6"/>
  <c r="I19" i="6"/>
  <c r="G19" i="6"/>
  <c r="J17" i="6"/>
  <c r="G17" i="6"/>
  <c r="I17" i="6"/>
  <c r="H17" i="6"/>
  <c r="F17" i="6"/>
  <c r="K17" i="6"/>
  <c r="E17" i="6"/>
  <c r="K35" i="6"/>
  <c r="E35" i="6"/>
  <c r="J35" i="6"/>
  <c r="G35" i="6"/>
  <c r="F35" i="6"/>
  <c r="I35" i="6"/>
  <c r="H35" i="6"/>
  <c r="J34" i="6"/>
  <c r="H34" i="6"/>
  <c r="K34" i="6"/>
  <c r="E34" i="6"/>
  <c r="I34" i="6"/>
  <c r="G34" i="6"/>
  <c r="F34" i="6"/>
  <c r="I29" i="6"/>
  <c r="F29" i="6"/>
  <c r="G29" i="6"/>
  <c r="J29" i="6"/>
  <c r="K29" i="6"/>
  <c r="H29" i="6"/>
  <c r="E29" i="6"/>
  <c r="K28" i="6"/>
  <c r="H28" i="6"/>
  <c r="E28" i="6"/>
  <c r="G28" i="6"/>
  <c r="J28" i="6"/>
  <c r="I28" i="6"/>
  <c r="F28" i="6"/>
  <c r="K27" i="6"/>
  <c r="H27" i="6"/>
  <c r="I27" i="6"/>
  <c r="J27" i="6"/>
  <c r="F27" i="6"/>
  <c r="G27" i="6"/>
  <c r="E27" i="6"/>
  <c r="D28" i="6"/>
  <c r="D27" i="6"/>
  <c r="D25" i="6"/>
  <c r="D26" i="6"/>
  <c r="AC24" i="5"/>
  <c r="AK24" i="5"/>
  <c r="AJ24" i="5"/>
  <c r="AI24" i="5"/>
  <c r="AK22" i="5"/>
  <c r="AJ22" i="5"/>
  <c r="AI22" i="5"/>
  <c r="AA22" i="5"/>
  <c r="AG24" i="5"/>
  <c r="AB22" i="5"/>
  <c r="AA21" i="5"/>
  <c r="AB21" i="5"/>
  <c r="AG21" i="5"/>
  <c r="AF21" i="5"/>
  <c r="AF24" i="5"/>
  <c r="AG22" i="5"/>
  <c r="Y22" i="5"/>
  <c r="AF22" i="5"/>
  <c r="Z21" i="5"/>
  <c r="Z24" i="5"/>
  <c r="AC21" i="5"/>
  <c r="X21" i="5"/>
  <c r="X22" i="5"/>
  <c r="X24" i="5"/>
  <c r="AA18" i="5"/>
  <c r="C17" i="6"/>
  <c r="D17" i="6"/>
  <c r="C28" i="6"/>
  <c r="C26" i="6"/>
  <c r="C16" i="6"/>
  <c r="D16" i="6"/>
  <c r="C20" i="6"/>
  <c r="D20" i="6"/>
  <c r="C35" i="6"/>
  <c r="D35" i="6"/>
  <c r="C27" i="6"/>
  <c r="D19" i="6"/>
  <c r="C19" i="6"/>
  <c r="C34" i="6"/>
  <c r="D34" i="6"/>
  <c r="C25" i="6"/>
  <c r="C18" i="6"/>
  <c r="D18" i="6"/>
  <c r="AB24" i="5"/>
  <c r="Y21" i="5"/>
  <c r="N36" i="6"/>
  <c r="S10" i="6"/>
  <c r="L20" i="6"/>
  <c r="L18" i="6"/>
  <c r="L16" i="6"/>
  <c r="K19" i="5"/>
  <c r="AA19" i="5" s="1"/>
  <c r="AD24" i="5"/>
  <c r="M18" i="6"/>
  <c r="AC22" i="5"/>
  <c r="M17" i="6"/>
  <c r="M16" i="6"/>
  <c r="M20" i="6"/>
  <c r="AD22" i="5"/>
  <c r="Z22" i="5"/>
  <c r="Z20" i="5"/>
  <c r="O17" i="6" l="1"/>
  <c r="U16" i="6"/>
  <c r="N17" i="6"/>
  <c r="M28" i="5"/>
  <c r="M29" i="5"/>
  <c r="AA24" i="5"/>
  <c r="F28" i="5"/>
  <c r="T20" i="6"/>
  <c r="T17" i="6"/>
  <c r="T18" i="6"/>
  <c r="T16" i="6"/>
  <c r="Y24" i="5"/>
  <c r="R20" i="6"/>
  <c r="U20" i="6"/>
  <c r="R18" i="6"/>
  <c r="U18" i="6"/>
  <c r="R17" i="6"/>
  <c r="U17" i="6"/>
  <c r="R16" i="6"/>
  <c r="L17" i="6"/>
  <c r="S17" i="6"/>
  <c r="P17" i="6"/>
  <c r="Q17" i="6"/>
  <c r="N20" i="6"/>
  <c r="S20" i="6"/>
  <c r="P20" i="6"/>
  <c r="Q20" i="6"/>
  <c r="O20" i="6"/>
  <c r="Q18" i="6"/>
  <c r="O18" i="6"/>
  <c r="S18" i="6"/>
  <c r="N18" i="6"/>
  <c r="P18" i="6"/>
  <c r="O16" i="6"/>
  <c r="Q16" i="6"/>
  <c r="N16" i="6"/>
  <c r="S16" i="6"/>
  <c r="P16" i="6"/>
  <c r="AA20" i="5" l="1"/>
  <c r="W38" i="5"/>
  <c r="V38" i="5"/>
  <c r="AL38" i="5" s="1"/>
  <c r="AE38" i="5" l="1"/>
  <c r="AH38" i="5"/>
  <c r="X38" i="5"/>
  <c r="AK38" i="5"/>
  <c r="AJ38" i="5"/>
  <c r="AI38" i="5"/>
  <c r="AG38" i="5"/>
  <c r="AD38" i="5"/>
  <c r="AB38" i="5"/>
  <c r="Z38" i="5"/>
  <c r="AF38" i="5"/>
  <c r="Y38" i="5"/>
  <c r="AC38" i="5"/>
  <c r="L35" i="6"/>
  <c r="L29" i="6"/>
  <c r="AA38" i="5"/>
  <c r="M35" i="6"/>
  <c r="T35" i="6" s="1"/>
  <c r="M29" i="6"/>
  <c r="T29" i="6" s="1"/>
  <c r="R35" i="6" l="1"/>
  <c r="U35" i="6"/>
  <c r="R29" i="6"/>
  <c r="U29" i="6"/>
  <c r="P35" i="6"/>
  <c r="S35" i="6"/>
  <c r="Q35" i="6"/>
  <c r="O35" i="6"/>
  <c r="N29" i="6"/>
  <c r="P29" i="6"/>
  <c r="O29" i="6"/>
  <c r="Q29" i="6"/>
  <c r="S29" i="6"/>
  <c r="N35" i="6" l="1"/>
  <c r="H29" i="5" l="1"/>
  <c r="H28" i="5"/>
  <c r="V28" i="5" s="1"/>
  <c r="F30" i="5"/>
  <c r="W28" i="5" l="1"/>
  <c r="AL28" i="5"/>
  <c r="V29" i="5"/>
  <c r="AL29" i="5" s="1"/>
  <c r="W29" i="5"/>
  <c r="F29" i="5"/>
  <c r="W37" i="5"/>
  <c r="W23" i="5"/>
  <c r="AM30" i="5"/>
  <c r="V30" i="5"/>
  <c r="AL30" i="5" s="1"/>
  <c r="W30" i="5"/>
  <c r="AH30" i="5" l="1"/>
  <c r="AE30" i="5"/>
  <c r="AH23" i="5"/>
  <c r="AH25" i="5" s="1"/>
  <c r="AE23" i="5"/>
  <c r="AE25" i="5" s="1"/>
  <c r="AH37" i="5"/>
  <c r="AE37" i="5"/>
  <c r="AH28" i="5"/>
  <c r="AE28" i="5"/>
  <c r="AD28" i="5"/>
  <c r="AE29" i="5"/>
  <c r="AH29" i="5"/>
  <c r="X23" i="5"/>
  <c r="Z23" i="5"/>
  <c r="W25" i="5"/>
  <c r="AK30" i="5"/>
  <c r="AJ30" i="5"/>
  <c r="AI30" i="5"/>
  <c r="Z30" i="5"/>
  <c r="AK23" i="5"/>
  <c r="AK25" i="5" s="1"/>
  <c r="AJ23" i="5"/>
  <c r="AJ25" i="5" s="1"/>
  <c r="AI23" i="5"/>
  <c r="AI25" i="5" s="1"/>
  <c r="AJ37" i="5"/>
  <c r="AI37" i="5"/>
  <c r="AK37" i="5"/>
  <c r="AJ29" i="5"/>
  <c r="AI29" i="5"/>
  <c r="AF29" i="5"/>
  <c r="AC29" i="5"/>
  <c r="AK28" i="5"/>
  <c r="AJ28" i="5"/>
  <c r="AI28" i="5"/>
  <c r="AG28" i="5"/>
  <c r="Y28" i="5"/>
  <c r="AC30" i="5"/>
  <c r="AF23" i="5"/>
  <c r="AF25" i="5" s="1"/>
  <c r="AK29" i="5"/>
  <c r="AG29" i="5"/>
  <c r="AD23" i="5"/>
  <c r="AA30" i="5"/>
  <c r="X37" i="5"/>
  <c r="AF28" i="5"/>
  <c r="AC28" i="5"/>
  <c r="AB28" i="5"/>
  <c r="AA28" i="5"/>
  <c r="AF30" i="5"/>
  <c r="AG30" i="5"/>
  <c r="AD30" i="5"/>
  <c r="AG23" i="5"/>
  <c r="AG25" i="5" s="1"/>
  <c r="X28" i="5"/>
  <c r="L25" i="6"/>
  <c r="M25" i="6"/>
  <c r="X30" i="5"/>
  <c r="X29" i="5"/>
  <c r="L26" i="6"/>
  <c r="AB29" i="5"/>
  <c r="M26" i="6"/>
  <c r="L34" i="6"/>
  <c r="L21" i="6"/>
  <c r="L19" i="6"/>
  <c r="M34" i="6"/>
  <c r="AB23" i="5"/>
  <c r="AB25" i="5" s="1"/>
  <c r="M19" i="6"/>
  <c r="T19" i="6" s="1"/>
  <c r="AA23" i="5"/>
  <c r="Y23" i="5"/>
  <c r="Y25" i="5" s="1"/>
  <c r="AC23" i="5"/>
  <c r="AC25" i="5" s="1"/>
  <c r="AB30" i="5"/>
  <c r="Y30" i="5"/>
  <c r="M27" i="6"/>
  <c r="T27" i="6" s="1"/>
  <c r="L27" i="6"/>
  <c r="AC26" i="5" l="1"/>
  <c r="W26" i="5"/>
  <c r="Y26" i="5"/>
  <c r="Q25" i="6"/>
  <c r="O25" i="6"/>
  <c r="N25" i="6"/>
  <c r="T25" i="6"/>
  <c r="R25" i="6"/>
  <c r="S25" i="6"/>
  <c r="P25" i="6"/>
  <c r="U25" i="6"/>
  <c r="AB26" i="5"/>
  <c r="Z25" i="5"/>
  <c r="Z26" i="5" s="1"/>
  <c r="AA25" i="5"/>
  <c r="AA26" i="5" s="1"/>
  <c r="T26" i="6"/>
  <c r="T21" i="6" s="1"/>
  <c r="P26" i="6"/>
  <c r="O26" i="6"/>
  <c r="U26" i="6"/>
  <c r="S26" i="6"/>
  <c r="Q26" i="6"/>
  <c r="R26" i="6"/>
  <c r="N26" i="6"/>
  <c r="R27" i="6"/>
  <c r="U27" i="6"/>
  <c r="R19" i="6"/>
  <c r="U19" i="6"/>
  <c r="P19" i="6"/>
  <c r="S19" i="6"/>
  <c r="N19" i="6"/>
  <c r="Q19" i="6"/>
  <c r="O19" i="6"/>
  <c r="N27" i="6"/>
  <c r="Q27" i="6"/>
  <c r="O27" i="6"/>
  <c r="S27" i="6"/>
  <c r="P27" i="6"/>
  <c r="Q21" i="6" l="1"/>
  <c r="S21" i="6"/>
  <c r="O21" i="6"/>
  <c r="N21" i="6"/>
  <c r="P21" i="6"/>
  <c r="R21" i="6"/>
  <c r="M21" i="6" l="1"/>
  <c r="T22" i="6" s="1"/>
  <c r="S22" i="6" l="1"/>
  <c r="Q22" i="6"/>
  <c r="O22" i="6"/>
  <c r="R22" i="6"/>
  <c r="P22" i="6"/>
  <c r="N22" i="6"/>
  <c r="V31" i="5" l="1"/>
  <c r="AL31" i="5" s="1"/>
  <c r="AL33" i="5" s="1"/>
  <c r="W31" i="5"/>
  <c r="AH31" i="5" l="1"/>
  <c r="AE31" i="5"/>
  <c r="AE33" i="5" s="1"/>
  <c r="AE40" i="5" s="1"/>
  <c r="AH33" i="5"/>
  <c r="AH40" i="5" s="1"/>
  <c r="AK31" i="5"/>
  <c r="AK33" i="5" s="1"/>
  <c r="AK40" i="5" s="1"/>
  <c r="AJ31" i="5"/>
  <c r="AJ33" i="5" s="1"/>
  <c r="AJ40" i="5" s="1"/>
  <c r="AI31" i="5"/>
  <c r="AI33" i="5" s="1"/>
  <c r="AI40" i="5" s="1"/>
  <c r="AB31" i="5"/>
  <c r="AB33" i="5" s="1"/>
  <c r="AB35" i="5" s="1"/>
  <c r="AF31" i="5"/>
  <c r="AF33" i="5" s="1"/>
  <c r="AG31" i="5"/>
  <c r="AG33" i="5" s="1"/>
  <c r="W33" i="5"/>
  <c r="AE34" i="5" s="1"/>
  <c r="V33" i="5"/>
  <c r="V40" i="5" s="1"/>
  <c r="X31" i="5"/>
  <c r="F31" i="5"/>
  <c r="L28" i="6"/>
  <c r="M28" i="6"/>
  <c r="T28" i="6" s="1"/>
  <c r="AD31" i="5"/>
  <c r="W40" i="5" l="1"/>
  <c r="AH34" i="5"/>
  <c r="AK34" i="5"/>
  <c r="AI34" i="5"/>
  <c r="W34" i="5"/>
  <c r="AJ34" i="5"/>
  <c r="AB34" i="5"/>
  <c r="AG34" i="5"/>
  <c r="AF34" i="5"/>
  <c r="Q28" i="6"/>
  <c r="R28" i="6"/>
  <c r="S28" i="6"/>
  <c r="M30" i="6"/>
  <c r="L30" i="6"/>
  <c r="W43" i="5" l="1"/>
  <c r="AH41" i="5"/>
  <c r="AH42" i="5" s="1"/>
  <c r="W42" i="5"/>
  <c r="AE41" i="5"/>
  <c r="AE42" i="5" s="1"/>
  <c r="AK41" i="5"/>
  <c r="AK42" i="5" s="1"/>
  <c r="AJ41" i="5"/>
  <c r="AJ42" i="5" s="1"/>
  <c r="AI41" i="5"/>
  <c r="AI42" i="5" s="1"/>
  <c r="W41" i="5"/>
  <c r="S30" i="6"/>
  <c r="Q30" i="6"/>
  <c r="R30" i="6"/>
  <c r="L37" i="6"/>
  <c r="M37" i="6"/>
  <c r="Q31" i="6" l="1"/>
  <c r="M7" i="6"/>
  <c r="R31" i="6"/>
  <c r="S31" i="6"/>
  <c r="N8" i="6" l="1"/>
  <c r="N23" i="6" s="1"/>
  <c r="S8" i="6"/>
  <c r="S11" i="6"/>
  <c r="R8" i="6"/>
  <c r="P8" i="6"/>
  <c r="P23" i="6" s="1"/>
  <c r="O8" i="6"/>
  <c r="Q8" i="6"/>
  <c r="Q23" i="6" s="1"/>
  <c r="O23" i="6" l="1"/>
  <c r="Q32" i="6"/>
  <c r="Q11" i="6"/>
  <c r="N11" i="6"/>
  <c r="P11" i="6"/>
  <c r="O11" i="6"/>
  <c r="AD46" i="5"/>
  <c r="R11" i="6"/>
  <c r="Y46" i="5" l="1"/>
  <c r="AC46" i="5"/>
  <c r="Z46" i="5"/>
  <c r="AA46" i="5"/>
  <c r="AB46" i="5"/>
  <c r="Y31" i="5" l="1"/>
  <c r="P28" i="6"/>
  <c r="AC31" i="5"/>
  <c r="Z31" i="5"/>
  <c r="AA31" i="5"/>
  <c r="O28" i="6"/>
  <c r="N28" i="6"/>
  <c r="AC33" i="5" l="1"/>
  <c r="O30" i="6"/>
  <c r="O32" i="6" s="1"/>
  <c r="P30" i="6"/>
  <c r="P32" i="6" s="1"/>
  <c r="N30" i="6"/>
  <c r="T30" i="6"/>
  <c r="AM31" i="5"/>
  <c r="U28" i="6"/>
  <c r="O31" i="6" l="1"/>
  <c r="N31" i="6"/>
  <c r="N32" i="6"/>
  <c r="AC34" i="5"/>
  <c r="P31" i="6"/>
  <c r="T31" i="6"/>
  <c r="Z28" i="5" l="1"/>
  <c r="Z29" i="5"/>
  <c r="AD29" i="5"/>
  <c r="Y29" i="5"/>
  <c r="Y33" i="5" s="1"/>
  <c r="AA29" i="5"/>
  <c r="AA33" i="5" s="1"/>
  <c r="AA34" i="5" l="1"/>
  <c r="Y34" i="5"/>
  <c r="Z33" i="5"/>
  <c r="AM29" i="5"/>
  <c r="AM28" i="5"/>
  <c r="Z35" i="5" l="1"/>
  <c r="Z34" i="5"/>
  <c r="AG35" i="5"/>
  <c r="AH35" i="5"/>
  <c r="Z37" i="5" l="1"/>
  <c r="Z40" i="5" s="1"/>
  <c r="Z42" i="5" s="1"/>
  <c r="P34" i="6"/>
  <c r="P37" i="6" s="1"/>
  <c r="P39" i="6" s="1"/>
  <c r="AB37" i="5"/>
  <c r="AB40" i="5" s="1"/>
  <c r="AB42" i="5" s="1"/>
  <c r="AA37" i="5"/>
  <c r="AA40" i="5" s="1"/>
  <c r="T34" i="6"/>
  <c r="T37" i="6" s="1"/>
  <c r="T38" i="6" s="1"/>
  <c r="R34" i="6"/>
  <c r="R37" i="6" s="1"/>
  <c r="R39" i="6" s="1"/>
  <c r="S34" i="6"/>
  <c r="S37" i="6" s="1"/>
  <c r="S40" i="6" s="1"/>
  <c r="Q34" i="6"/>
  <c r="Q37" i="6" s="1"/>
  <c r="Q39" i="6" s="1"/>
  <c r="I37" i="5"/>
  <c r="Y37" i="5" s="1"/>
  <c r="AG37" i="5"/>
  <c r="AG40" i="5" s="1"/>
  <c r="AG41" i="5" s="1"/>
  <c r="AF37" i="5"/>
  <c r="O34" i="6"/>
  <c r="O37" i="6" s="1"/>
  <c r="O39" i="6" s="1"/>
  <c r="F37" i="5"/>
  <c r="AD37" i="5"/>
  <c r="Y40" i="5" l="1"/>
  <c r="Y41" i="5" s="1"/>
  <c r="Z43" i="5"/>
  <c r="AA41" i="5"/>
  <c r="AF40" i="5"/>
  <c r="AG42" i="5"/>
  <c r="Z41" i="5"/>
  <c r="AC37" i="5"/>
  <c r="AC40" i="5" s="1"/>
  <c r="AC41" i="5" s="1"/>
  <c r="S38" i="6"/>
  <c r="AE47" i="5"/>
  <c r="AE48" i="5" s="1"/>
  <c r="P38" i="6"/>
  <c r="P40" i="6"/>
  <c r="R38" i="6"/>
  <c r="R40" i="6"/>
  <c r="Q38" i="6"/>
  <c r="Q40" i="6"/>
  <c r="O38" i="6"/>
  <c r="O40" i="6"/>
  <c r="U34" i="6"/>
  <c r="N34" i="6"/>
  <c r="N37" i="6" s="1"/>
  <c r="N39" i="6" s="1"/>
  <c r="N38" i="6" l="1"/>
  <c r="N40" i="6"/>
  <c r="AF41" i="5"/>
  <c r="AF42" i="5" s="1"/>
  <c r="AL40" i="5"/>
  <c r="AL42" i="5" s="1"/>
  <c r="AB43" i="5"/>
  <c r="AB41" i="5"/>
  <c r="AD43" i="5"/>
  <c r="AB47" i="5"/>
  <c r="AB48" i="5" s="1"/>
  <c r="Z47" i="5"/>
  <c r="Z48" i="5" s="1"/>
  <c r="AD47" i="5"/>
  <c r="AD48" i="5" s="1"/>
  <c r="AG43" i="5"/>
  <c r="AA47" i="5"/>
  <c r="AA48" i="5" s="1"/>
  <c r="AC47" i="5"/>
  <c r="AC48" i="5" s="1"/>
  <c r="Y47" i="5" l="1"/>
  <c r="Y48" i="5" s="1"/>
  <c r="N21" i="5" l="1"/>
  <c r="AD21" i="5" s="1"/>
  <c r="AD25" i="5" s="1"/>
  <c r="AD26" i="5" s="1"/>
  <c r="AD33" i="5" l="1"/>
  <c r="AD40" i="5" l="1"/>
  <c r="AD35" i="5"/>
  <c r="AD34" i="5"/>
  <c r="AD41" i="5" l="1"/>
  <c r="AD42"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Ein geschätzter Microsoft Office Anwender</author>
  </authors>
  <commentList>
    <comment ref="W1" authorId="0" shapeId="0" xr:uid="{30D07BB5-A9E0-4264-BC69-64816F82F647}">
      <text>
        <r>
          <rPr>
            <sz val="8"/>
            <color indexed="81"/>
            <rFont val="Tahoma"/>
            <family val="2"/>
          </rPr>
          <t>Eigene Futtermittel können durch Eingabe oder kopieren vorhandener Futtermittel ergänzt werden.
Nutzen Sie hierzu die freien Felder zwischen den Futtermittelgruppen.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Ein geschätzter Microsoft Office Anwender</author>
  </authors>
  <commentList>
    <comment ref="B1" authorId="0" shapeId="0" xr:uid="{00000000-0006-0000-0400-000001000000}">
      <text>
        <r>
          <rPr>
            <sz val="8"/>
            <color indexed="81"/>
            <rFont val="Tahoma"/>
            <family val="2"/>
          </rPr>
          <t>Bildschirmeinstellungen:
Zoom 75%
Bildschirm geteilt: oberes Feld Eingabe
                            unteres Feld Ergebnisse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Ein geschätzter Microsoft Office Anwender</author>
  </authors>
  <commentList>
    <comment ref="A1" authorId="0" shapeId="0" xr:uid="{00000000-0006-0000-0500-000001000000}">
      <text>
        <r>
          <rPr>
            <sz val="8"/>
            <color indexed="81"/>
            <rFont val="Tahoma"/>
            <family val="2"/>
          </rPr>
          <t>Bildschirmeinstellungen:
Zoom 75%
Bildschirm geteilt: oberes Feld Eingabe
                            unteres Feld Ergebnisse</t>
        </r>
      </text>
    </comment>
    <comment ref="M14" authorId="0" shapeId="0" xr:uid="{00000000-0006-0000-0500-000002000000}">
      <text>
        <r>
          <rPr>
            <sz val="8"/>
            <color indexed="81"/>
            <rFont val="Tahoma"/>
            <family val="2"/>
          </rPr>
          <t>Futtermittelmenge in TS eingeben!
Umrechnung in FS erfolgt in Spalte 1</t>
        </r>
      </text>
    </comment>
  </commentList>
</comments>
</file>

<file path=xl/sharedStrings.xml><?xml version="1.0" encoding="utf-8"?>
<sst xmlns="http://schemas.openxmlformats.org/spreadsheetml/2006/main" count="544" uniqueCount="305">
  <si>
    <t>Milchleistung</t>
  </si>
  <si>
    <t>Fett</t>
  </si>
  <si>
    <t>Eiweiß</t>
  </si>
  <si>
    <t>Bedarf der Kuh</t>
  </si>
  <si>
    <t>kg</t>
  </si>
  <si>
    <t>kg/Tag</t>
  </si>
  <si>
    <t>%</t>
  </si>
  <si>
    <t>ADF</t>
  </si>
  <si>
    <t>MJ</t>
  </si>
  <si>
    <t>g</t>
  </si>
  <si>
    <t>je kg Milch</t>
  </si>
  <si>
    <t>Leistungsbedarf</t>
  </si>
  <si>
    <t>Erhaltungsbedarf</t>
  </si>
  <si>
    <t>Futterart</t>
  </si>
  <si>
    <t>Gehalt der Ration</t>
  </si>
  <si>
    <t>Summe</t>
  </si>
  <si>
    <t>kg Milch</t>
  </si>
  <si>
    <t>Milchleistungsfutter</t>
  </si>
  <si>
    <t>Mineralstoffbilanzierung</t>
  </si>
  <si>
    <t>Summe Erhaltung</t>
  </si>
  <si>
    <t>Summe  Leistung</t>
  </si>
  <si>
    <t>Ca</t>
  </si>
  <si>
    <t>P</t>
  </si>
  <si>
    <t>Na</t>
  </si>
  <si>
    <t>Mg</t>
  </si>
  <si>
    <t>K</t>
  </si>
  <si>
    <t xml:space="preserve">g </t>
  </si>
  <si>
    <t>Bedarfsdeckung</t>
  </si>
  <si>
    <t>Futterwerttabelle</t>
  </si>
  <si>
    <t>Futtermittel</t>
  </si>
  <si>
    <t>Trocken-</t>
  </si>
  <si>
    <t>Roh-</t>
  </si>
  <si>
    <t>Zucker</t>
  </si>
  <si>
    <t>Stärke</t>
  </si>
  <si>
    <t>Energie</t>
  </si>
  <si>
    <t>protein</t>
  </si>
  <si>
    <t>ME</t>
  </si>
  <si>
    <t>a</t>
  </si>
  <si>
    <t>Frischfutter</t>
  </si>
  <si>
    <t>Silagen</t>
  </si>
  <si>
    <t>Heu/Stroh</t>
  </si>
  <si>
    <t>Handelsfuttermittel</t>
  </si>
  <si>
    <t>Ackerbohnen</t>
  </si>
  <si>
    <t>reicht für ... kg Milch</t>
  </si>
  <si>
    <t>Rationsbezeichnung</t>
  </si>
  <si>
    <t>TMR HF</t>
  </si>
  <si>
    <t>Einzel HF</t>
  </si>
  <si>
    <t>Grobfutter</t>
  </si>
  <si>
    <t>Milchkühe</t>
  </si>
  <si>
    <t>Rohfett</t>
  </si>
  <si>
    <t>Trockenmasse</t>
  </si>
  <si>
    <t>Frischmasse</t>
  </si>
  <si>
    <t>Dateneingabe</t>
  </si>
  <si>
    <t>TM</t>
  </si>
  <si>
    <t>je kg TM</t>
  </si>
  <si>
    <t>FM</t>
  </si>
  <si>
    <t>Rationsausgleich/Mineralfutter</t>
  </si>
  <si>
    <t>FM kg</t>
  </si>
  <si>
    <t>TM kg</t>
  </si>
  <si>
    <t>NFC</t>
  </si>
  <si>
    <t>Nicht-</t>
  </si>
  <si>
    <t>MJ/kg TM</t>
  </si>
  <si>
    <t>g/kg FM</t>
  </si>
  <si>
    <t>Tierzahl</t>
  </si>
  <si>
    <t>Eigenmischungen</t>
  </si>
  <si>
    <r>
      <t xml:space="preserve">Gehalt je kg </t>
    </r>
    <r>
      <rPr>
        <b/>
        <sz val="9"/>
        <rFont val="Arial"/>
        <family val="2"/>
      </rPr>
      <t>TM</t>
    </r>
    <r>
      <rPr>
        <sz val="9"/>
        <rFont val="Arial"/>
        <family val="2"/>
      </rPr>
      <t xml:space="preserve"> im Futter</t>
    </r>
  </si>
  <si>
    <r>
      <t xml:space="preserve">Erhaltungsbedarf </t>
    </r>
    <r>
      <rPr>
        <sz val="9"/>
        <rFont val="Arial"/>
        <family val="2"/>
      </rPr>
      <t>(je kg TM)</t>
    </r>
  </si>
  <si>
    <r>
      <t xml:space="preserve">Leistungsbedarf </t>
    </r>
    <r>
      <rPr>
        <sz val="9"/>
        <rFont val="Arial"/>
        <family val="2"/>
      </rPr>
      <t>(je kg Milch)</t>
    </r>
  </si>
  <si>
    <t>Futteraufnahme</t>
  </si>
  <si>
    <t>b</t>
  </si>
  <si>
    <t>Futterwerte</t>
  </si>
  <si>
    <t>k</t>
  </si>
  <si>
    <t>Rasse</t>
  </si>
  <si>
    <t>KF</t>
  </si>
  <si>
    <t>Milchleistungsfutter (Abruffütterung!)</t>
  </si>
  <si>
    <t>c</t>
  </si>
  <si>
    <t>Mineralstoffe</t>
  </si>
  <si>
    <t xml:space="preserve">Futterrationsplanung mit dem "Uni_Rat"-Programm </t>
  </si>
  <si>
    <t>Bedienung</t>
  </si>
  <si>
    <t>Nachfolgend werden die einzelnen Arbeitsblätter und deren Verknüpfung untereinander dargestellt.</t>
  </si>
  <si>
    <t>Arbeitsblatt</t>
  </si>
  <si>
    <t>Funktion</t>
  </si>
  <si>
    <t>Verknüpfungen (Datenübergabe)</t>
  </si>
  <si>
    <t>Ration Milch</t>
  </si>
  <si>
    <t>Futter-bedarf</t>
  </si>
  <si>
    <t>Abw. V. Ziel</t>
  </si>
  <si>
    <t>Grenzwerte</t>
  </si>
  <si>
    <t>min</t>
  </si>
  <si>
    <t>max</t>
  </si>
  <si>
    <t>g/kg TM</t>
  </si>
  <si>
    <t>Se</t>
  </si>
  <si>
    <t>mg</t>
  </si>
  <si>
    <t>mg/kg TM</t>
  </si>
  <si>
    <t>Na:K</t>
  </si>
  <si>
    <t>1:</t>
  </si>
  <si>
    <t>Bedarf</t>
  </si>
  <si>
    <t>IST</t>
  </si>
  <si>
    <t>LM-Veränderung</t>
  </si>
  <si>
    <t>g/Tag</t>
  </si>
  <si>
    <t>je kg 
TM</t>
  </si>
  <si>
    <t>Ration Milch-Mineralstoffe</t>
  </si>
  <si>
    <t>DCAB</t>
  </si>
  <si>
    <t>meq/kg TM</t>
  </si>
  <si>
    <t>meq</t>
  </si>
  <si>
    <t>DCAB lakt.</t>
  </si>
  <si>
    <t>-</t>
  </si>
  <si>
    <t>RNB trocken</t>
  </si>
  <si>
    <t>Mischung 1</t>
  </si>
  <si>
    <t>Mischung 2</t>
  </si>
  <si>
    <t>Mischung 4</t>
  </si>
  <si>
    <t>Mischung 5</t>
  </si>
  <si>
    <t>Mischung 6</t>
  </si>
  <si>
    <t>Mischung 7</t>
  </si>
  <si>
    <t>Mischung 8</t>
  </si>
  <si>
    <t>Mischung 9</t>
  </si>
  <si>
    <t>Bearbeiter*in:</t>
  </si>
  <si>
    <t>E. Gerster</t>
  </si>
  <si>
    <t>SI</t>
  </si>
  <si>
    <t>Stärke+Zucker</t>
  </si>
  <si>
    <t>Wasser (FM!)</t>
  </si>
  <si>
    <t>beständige</t>
  </si>
  <si>
    <t>pansen-</t>
  </si>
  <si>
    <t>abbaubare</t>
  </si>
  <si>
    <t>G</t>
  </si>
  <si>
    <t>aNDFom</t>
  </si>
  <si>
    <t>aNDFomGF</t>
  </si>
  <si>
    <t>K2</t>
  </si>
  <si>
    <t>K4</t>
  </si>
  <si>
    <t>K6</t>
  </si>
  <si>
    <t>K8</t>
  </si>
  <si>
    <t>Laktationstag</t>
  </si>
  <si>
    <t>TM_GF</t>
  </si>
  <si>
    <t>für Erhaltung</t>
  </si>
  <si>
    <t>gesamt</t>
  </si>
  <si>
    <t>&lt; 50 g/kg TM</t>
  </si>
  <si>
    <t>K9</t>
  </si>
  <si>
    <t>K1</t>
  </si>
  <si>
    <t>K3</t>
  </si>
  <si>
    <t>K5</t>
  </si>
  <si>
    <t>K7</t>
  </si>
  <si>
    <t>masse</t>
  </si>
  <si>
    <t>Laktose</t>
  </si>
  <si>
    <t>ST+ZU-bST</t>
  </si>
  <si>
    <t>ZU</t>
  </si>
  <si>
    <t>CL</t>
  </si>
  <si>
    <t>bST</t>
  </si>
  <si>
    <t>Brutto-</t>
  </si>
  <si>
    <t>dünn-</t>
  </si>
  <si>
    <t>Passage-</t>
  </si>
  <si>
    <t>Dünndarm-</t>
  </si>
  <si>
    <t>energie</t>
  </si>
  <si>
    <t>asche</t>
  </si>
  <si>
    <t>darmverdaul.</t>
  </si>
  <si>
    <t>mikrobielle</t>
  </si>
  <si>
    <t>verdaul.</t>
  </si>
  <si>
    <t xml:space="preserve">Protein </t>
  </si>
  <si>
    <t>Differenz</t>
  </si>
  <si>
    <t>mikrob. CP</t>
  </si>
  <si>
    <t>des UDP</t>
  </si>
  <si>
    <t>ME_FAN1</t>
  </si>
  <si>
    <t>GE</t>
  </si>
  <si>
    <t>CA</t>
  </si>
  <si>
    <t>sidP_FAN1</t>
  </si>
  <si>
    <t>CP</t>
  </si>
  <si>
    <t>sidMCP_FAN1</t>
  </si>
  <si>
    <t>OMD_FAN1</t>
  </si>
  <si>
    <t>ADFom</t>
  </si>
  <si>
    <t>ST</t>
  </si>
  <si>
    <t>lag</t>
  </si>
  <si>
    <t>siDUDP</t>
  </si>
  <si>
    <t>% OM</t>
  </si>
  <si>
    <t>%/h</t>
  </si>
  <si>
    <t>h</t>
  </si>
  <si>
    <t xml:space="preserve">% UDP </t>
  </si>
  <si>
    <t>Dauergrünland, grasbetont</t>
  </si>
  <si>
    <t xml:space="preserve">Luzerne,1. Aufwuchs, Verdaulichkeit mittel </t>
  </si>
  <si>
    <t>Dauergrünland siliert, grasbetont, 1. Aufwuchs</t>
  </si>
  <si>
    <t>Dauergrünland siliert, grasbetont, 3. Aufwuchs</t>
  </si>
  <si>
    <t>Dauergrünland siliert, grasbetont, 5. Aufwuchs</t>
  </si>
  <si>
    <t xml:space="preserve">Maissilage, Verdaulichkeit hoch </t>
  </si>
  <si>
    <t xml:space="preserve">Maissilage, Verdaulichkeit mittel </t>
  </si>
  <si>
    <t xml:space="preserve">Maissilage, Verdaulichkeit niedrig </t>
  </si>
  <si>
    <t xml:space="preserve">Rotklee-Silage </t>
  </si>
  <si>
    <t xml:space="preserve">GPS, siliert </t>
  </si>
  <si>
    <t xml:space="preserve">Dauergrümland, Heu, Verdaulichkeit gut </t>
  </si>
  <si>
    <t xml:space="preserve">Dauergrümland, Heu, Verdaulichkeit mittel </t>
  </si>
  <si>
    <t>Dauergrümland, Heu, Verdaulichkeit niedrig</t>
  </si>
  <si>
    <t>Stroh, Gerste</t>
  </si>
  <si>
    <t xml:space="preserve">Gerste </t>
  </si>
  <si>
    <t xml:space="preserve">Körnermais </t>
  </si>
  <si>
    <t xml:space="preserve">Rapsextraktionsschrot unbehandelt </t>
  </si>
  <si>
    <t xml:space="preserve">Sojaextraktionsschrot, geziehlt behandelt, pansenstabil </t>
  </si>
  <si>
    <t>Weizen</t>
  </si>
  <si>
    <t>Eigene Analysen (Grobfutter)</t>
  </si>
  <si>
    <t/>
  </si>
  <si>
    <t>g N/kg TM</t>
  </si>
  <si>
    <t>RMD_FAN1</t>
  </si>
  <si>
    <t>Mineralfutter und Sonstige</t>
  </si>
  <si>
    <t>Futterharnstoff</t>
  </si>
  <si>
    <t xml:space="preserve">Propylenglycol </t>
  </si>
  <si>
    <t xml:space="preserve">Bsp. Milchleistungsfutter </t>
  </si>
  <si>
    <t xml:space="preserve">Glycerin, roh </t>
  </si>
  <si>
    <t>0</t>
  </si>
  <si>
    <t>Masse</t>
  </si>
  <si>
    <t>Verdaulichkeit</t>
  </si>
  <si>
    <t>FAN1</t>
  </si>
  <si>
    <t>UE</t>
  </si>
  <si>
    <t>MJ/kg OM</t>
  </si>
  <si>
    <t>Energieverluste</t>
  </si>
  <si>
    <t>Methan</t>
  </si>
  <si>
    <r>
      <t>CH</t>
    </r>
    <r>
      <rPr>
        <b/>
        <vertAlign val="subscript"/>
        <sz val="11"/>
        <rFont val="Calibri"/>
        <family val="2"/>
      </rPr>
      <t>4</t>
    </r>
    <r>
      <rPr>
        <b/>
        <sz val="11"/>
        <rFont val="Calibri"/>
        <family val="2"/>
      </rPr>
      <t>E</t>
    </r>
    <r>
      <rPr>
        <b/>
        <vertAlign val="subscript"/>
        <sz val="11"/>
        <rFont val="Calibri"/>
        <family val="2"/>
      </rPr>
      <t>FAN</t>
    </r>
  </si>
  <si>
    <t>sidP</t>
  </si>
  <si>
    <t>RMD</t>
  </si>
  <si>
    <t>Viehsalz</t>
  </si>
  <si>
    <t>Grasaufwüchse, siliert, Verdaulichkeit sehr gut</t>
  </si>
  <si>
    <t>Futterkalk</t>
  </si>
  <si>
    <t>Sojaextraktionsschrot, unbehandelt</t>
  </si>
  <si>
    <t>Melasseschnitzel</t>
  </si>
  <si>
    <t>Milch gesamt</t>
  </si>
  <si>
    <t>an den Berufsschulen in Baden-Württemberg</t>
  </si>
  <si>
    <t>am Beispiel laktierende Milchkuh</t>
  </si>
  <si>
    <r>
      <t>UniRat 2026</t>
    </r>
    <r>
      <rPr>
        <sz val="30"/>
        <color theme="0" tint="-0.499984740745262"/>
        <rFont val="Arial"/>
        <family val="2"/>
      </rPr>
      <t xml:space="preserve"> (auf Basis der GfE 2023)</t>
    </r>
  </si>
  <si>
    <t xml:space="preserve">Anwendnung für das Erlernen der Rationsberechnung </t>
  </si>
  <si>
    <t>Bedarfsnorm (GfE 2023)</t>
  </si>
  <si>
    <t>FAN</t>
  </si>
  <si>
    <r>
      <t xml:space="preserve">Eine Datenübergabe findet zu den Arbeitsblättern </t>
    </r>
    <r>
      <rPr>
        <b/>
        <sz val="10"/>
        <color theme="4"/>
        <rFont val="Arial"/>
        <family val="2"/>
      </rPr>
      <t xml:space="preserve"> "Ration Milch" und "Ration Milch - Mineralstoffe"</t>
    </r>
    <r>
      <rPr>
        <sz val="10"/>
        <rFont val="Arial"/>
        <family val="2"/>
      </rPr>
      <t xml:space="preserve"> statt.</t>
    </r>
  </si>
  <si>
    <t>Abkürzungen nach GfE 2023</t>
  </si>
  <si>
    <t xml:space="preserve">Abkürzung </t>
  </si>
  <si>
    <t xml:space="preserve">Bedeutung </t>
  </si>
  <si>
    <t>FANi</t>
  </si>
  <si>
    <t>OMD</t>
  </si>
  <si>
    <t>Nachfolgend werden die im Arbeitsblatt "Futterwerte" verwendeten Abkürzungen erläutert.</t>
  </si>
  <si>
    <t xml:space="preserve">TM </t>
  </si>
  <si>
    <t>sidMCP</t>
  </si>
  <si>
    <t xml:space="preserve">ST </t>
  </si>
  <si>
    <t>Phosphor</t>
  </si>
  <si>
    <t xml:space="preserve">Futteraufnahmeniveau </t>
  </si>
  <si>
    <t xml:space="preserve">TM-Aufnahme: </t>
  </si>
  <si>
    <t>amylasebehandelte NDF (org. Masse)</t>
  </si>
  <si>
    <t>Calcium</t>
  </si>
  <si>
    <t>Rohprotein</t>
  </si>
  <si>
    <t>Bruttoenergie</t>
  </si>
  <si>
    <t>Kalium</t>
  </si>
  <si>
    <t>Umsetzbare Energie</t>
  </si>
  <si>
    <t>Magnesium</t>
  </si>
  <si>
    <t>Natrium</t>
  </si>
  <si>
    <t>Nicht-Faser-Kohlenhydrate</t>
  </si>
  <si>
    <t>Verdaulichkeit der organischen Masse</t>
  </si>
  <si>
    <t>Selen</t>
  </si>
  <si>
    <t>dünndarmverdauliches Protein</t>
  </si>
  <si>
    <t xml:space="preserve">schnell abbaubare Fraktion des Futter-Rohproteins </t>
  </si>
  <si>
    <t xml:space="preserve">säure detergenzien-Faser nach Veraschung </t>
  </si>
  <si>
    <r>
      <t xml:space="preserve">Neutral-Detergenzien-Faser nach Veraschung und Vorbehandlung mit </t>
    </r>
    <r>
      <rPr>
        <sz val="11"/>
        <rFont val="Cambria"/>
        <family val="1"/>
      </rPr>
      <t>α</t>
    </r>
    <r>
      <rPr>
        <sz val="11"/>
        <rFont val="BaWue Sans"/>
      </rPr>
      <t xml:space="preserve">-Amylase </t>
    </r>
  </si>
  <si>
    <t xml:space="preserve">Potentiell abbaubare Fraktion des Futter-Rohproteins </t>
  </si>
  <si>
    <t xml:space="preserve">beständige Stärke </t>
  </si>
  <si>
    <t>Abbaurate (Abbaugeschwindigkeit) der Fraktion b</t>
  </si>
  <si>
    <t xml:space="preserve">Rohasche </t>
  </si>
  <si>
    <t xml:space="preserve">Kationen-Anionen-Bilanz im Futter </t>
  </si>
  <si>
    <t>Futteraufnahmeniveau 1 (Erhaltungsniveau (50 g TM/kg0,75))</t>
  </si>
  <si>
    <r>
      <t>Realisiertes Futteraufnahmeniveau (vielfaches von 50 g TM/kg</t>
    </r>
    <r>
      <rPr>
        <vertAlign val="superscript"/>
        <sz val="11"/>
        <color rgb="FF000000"/>
        <rFont val="BaWue Sans"/>
      </rPr>
      <t>0,75</t>
    </r>
    <r>
      <rPr>
        <sz val="11"/>
        <color rgb="FF000000"/>
        <rFont val="BaWue Sans"/>
      </rPr>
      <t xml:space="preserve">) </t>
    </r>
  </si>
  <si>
    <t>Verzögerungszeit des ruminalen CP-Abbaus</t>
  </si>
  <si>
    <t>ruminale mikrobielle Differenz (Differenz aus RDP und MCP)</t>
  </si>
  <si>
    <t>dünndarmverdauliches MCP</t>
  </si>
  <si>
    <t xml:space="preserve">Dünndarmverdaulichkeit des UDP des Futterproteins </t>
  </si>
  <si>
    <t xml:space="preserve">im Pansen schnell abbaubare/fermentierbare Kohlenhydrate (vornehmlich Stärke (abzüglich beständige Stärke) und Zuckerarten </t>
  </si>
  <si>
    <t>Harnenergie (urea energy)</t>
  </si>
  <si>
    <t>CH4E</t>
  </si>
  <si>
    <t xml:space="preserve">Methanenergie </t>
  </si>
  <si>
    <t>Eigenes Futtermittel</t>
  </si>
  <si>
    <t>kFANi</t>
  </si>
  <si>
    <t>h-1</t>
  </si>
  <si>
    <t>SF</t>
  </si>
  <si>
    <t>rate FAN1</t>
  </si>
  <si>
    <t>sidP_FAN1 aus UDP</t>
  </si>
  <si>
    <t>sidP_FAN1 aus MCP</t>
  </si>
  <si>
    <t>MCP_FAN1</t>
  </si>
  <si>
    <t>RDP FAN1</t>
  </si>
  <si>
    <t>188</t>
  </si>
  <si>
    <t>(DLG 01/2025)</t>
  </si>
  <si>
    <t>Umsetzbare</t>
  </si>
  <si>
    <t xml:space="preserve">Harn </t>
  </si>
  <si>
    <t>der Organischen</t>
  </si>
  <si>
    <t xml:space="preserve">ruminale </t>
  </si>
  <si>
    <t xml:space="preserve">Kohlenhydrate </t>
  </si>
  <si>
    <t>Faser-</t>
  </si>
  <si>
    <t xml:space="preserve">Struktur-Kohlenhydrate </t>
  </si>
  <si>
    <t xml:space="preserve">ruminale Abbauparameter </t>
  </si>
  <si>
    <t>Die Nährstoffkonzentratione werden aus der Eingabemaske "Futterwerte" übernommen.
Die Futtermengen der Seite "Ration Milch-Mineralstoffe" basieren auf den auf Arbeitsblatt "Ration Milch" gemachten Angaben.
Die Toleranzbereiche der Rationskennzahlen können auf der Seite "Einstellungen" angepasst werden.</t>
  </si>
  <si>
    <t>Im Arbeitsblatt "Ration Milch - Mineralstoffe" erfolgt die Bilanzierung der Mineralstoffkonzentrationen. Die im Arbeitsblatt "Ration Milch" ausgewählten Futtermittel und die in der Futterwerttabelle "Futterwerte" gemachten Angaben werden übernommen. 
Unvollständige Datensätze werden markiert und sind ggf. auf der Seite "Futterwerte" zu vervollständigen.</t>
  </si>
  <si>
    <t>Die Ergebnisse werden zur Seite "Ration Milch" übergeben.
Mineralstoffkonzentrationen werden aus dem Arbeitsblatt "Futterwerte" übernommen.</t>
  </si>
  <si>
    <t>UniRat wurde im Rahmen der Einführung der GfE-Empfehlungen 2023 aktualisiert und dient als einfaches, Excel-basiertes Werkzeug zur Rationsberechnung für Milchkühe. Das Programm ist bewusst didaktisch reduziert aufgebaut und richtet sich in erster Linie an den Einsatz in Berufsschulen  und der landwirtschaftlichen Ausbildung sowie an Landwirtinnen und Landwirte, die ein grundlegendes Verständnis für die neuen GfE-Empfehlungen und ihre Zusammenhänge entwickeln möchten.
UniRat eignet sich zur übersichtlichen Darstellung und Nachvollziehung der neuen Kenngrößen (z. B. ME, sidP, FAN) und der grundlegenden Prinzipien der Rationsgestaltung. Das Programm ist nicht für die betriebliche Praxisrationsberechnung konzipiert und ersetzt keine professionelle Rationssoftware. Für die praktische Rationsplanung auf Betriebsebene werden umfassendere Rationsberechnungsprogramme, wie beispielsweise Zifo2, empfohlen.</t>
  </si>
  <si>
    <t xml:space="preserve">Biertreber, siliert </t>
  </si>
  <si>
    <t>243</t>
  </si>
  <si>
    <t>Rübenpresschnitzel, siliert</t>
  </si>
  <si>
    <t>103</t>
  </si>
  <si>
    <t xml:space="preserve">Beispielration </t>
  </si>
  <si>
    <t>meq/kg TM (Staufenbiel 2023)</t>
  </si>
  <si>
    <t>Mineralfutter 25%Ca</t>
  </si>
  <si>
    <t>Körper-</t>
  </si>
  <si>
    <t xml:space="preserve">g/kg TM </t>
  </si>
  <si>
    <t>rate</t>
  </si>
  <si>
    <t xml:space="preserve">Das Arbeitsblatt "Futterwerte" bietet die Möglichkeit auf tabellierte Futterwerte zurückzugreifen, betriebseigene Futtermittel anzulegen und eigene Futterwertananlysen aufzunehmen. Von allen Kalkulationsseiten wird auf diese Werte zurückgegriffen. 
Beim Anlegen eigener Futtermittel können die Daten vorhandener Futtermittel kopiert werden. Hierdurch lassen sich Datenlücken, die zu Fehlern in den Berechnungen führen können, vermeiden. Die Größen ME, UE, CH4E und sidP werden anhand hinterlegter Formeln und der weiteren eingegebenen Kenngrößen aus dem Labor berechnet und müssen nicht händisch eingetragen werden. Alle Spalten, in denen Sie Ihre betriebseigenen Analyseergebnisse eintragen können, sind in der Spaltenbezeichnung blau hinterlegt. 
Werden Grobfutter neu angelegt, ist in der ersten Spalte darauf zu achten, dass dort als Kürzel "G" (grün hinterlegt) eingetragen ist. So weiß UniRat, dass diese Komponenten ein Grobfuttermittel ist und kann darauf aufbauende Berechnungen (etwa aNDFomGF oder den Strukturindex SI) korrekt durchführen. Des Weiteren ist bei der Eingabe von Futtermitteln darauf zu achten, zwischen Konzentratfuttermitteln "KF" (rot hinterlegt) und Saftfuttermitteln "SF" (blau hinterlegt) zu unterscheiden. Je nach Futtermittelart wird eine unterschiedliche Passagerate k angesetzt. Diese ist zudem dynamisch und vom Futteraufnahmeniveau abhängig, wodurch sich Änderungen in Abhängigkeit von der Futtermittelart und dem Futteraufnahmeniveau direkt auf die sidP Lieferung des Futtermittels auswirken. </t>
  </si>
  <si>
    <t>Milch-</t>
  </si>
  <si>
    <t>leistung</t>
  </si>
  <si>
    <r>
      <t>Im Arbeitsblatt "Ration Milch" können einfache Futterrationen berechnet werden.
Der Rationsberechnung liegt ein dreistufiger Aufbau aus Grobfutter, Rationsausgleich und Milchleistungsfutter zugrunde.
Die Dateneingabe kann nach Auswahl entweder in Frischmasse oder als Trockenmasse erfolgen. Die Berechnungen erfolgen dabei grundsätzlich auf der Basis der Trockenmasse. 
Zur Bedarfsermittlung dienen</t>
    </r>
    <r>
      <rPr>
        <b/>
        <sz val="10"/>
        <rFont val="Arial"/>
        <family val="2"/>
      </rPr>
      <t xml:space="preserve"> </t>
    </r>
    <r>
      <rPr>
        <b/>
        <sz val="10"/>
        <color theme="9" tint="-0.249977111117893"/>
        <rFont val="Arial"/>
        <family val="2"/>
      </rPr>
      <t>Körpermasse</t>
    </r>
    <r>
      <rPr>
        <sz val="10"/>
        <rFont val="Arial"/>
        <family val="2"/>
      </rPr>
      <t xml:space="preserve">, </t>
    </r>
    <r>
      <rPr>
        <b/>
        <sz val="10"/>
        <color theme="9" tint="-0.249977111117893"/>
        <rFont val="Arial"/>
        <family val="2"/>
      </rPr>
      <t>Milchleistung</t>
    </r>
    <r>
      <rPr>
        <sz val="10"/>
        <rFont val="Arial"/>
        <family val="2"/>
      </rPr>
      <t xml:space="preserve"> sowie </t>
    </r>
    <r>
      <rPr>
        <b/>
        <sz val="10"/>
        <color theme="9" tint="-0.249977111117893"/>
        <rFont val="Arial"/>
        <family val="2"/>
      </rPr>
      <t>Milchinhaltsstoffe</t>
    </r>
    <r>
      <rPr>
        <sz val="10"/>
        <rFont val="Arial"/>
        <family val="2"/>
      </rPr>
      <t xml:space="preserve">, die individuell angepasst werden können. Ein zusätzlicher Barf für Trächtigkeit oder Körperwachstum wird vereinfachend nicht berücksichtigt. UniRat ist folglich nicht geeignet für die Kalkulation von Rationen für Trockensteher. Neben der Körpermasse sollte die durchschnittliche tägliche </t>
    </r>
    <r>
      <rPr>
        <b/>
        <sz val="10"/>
        <color theme="9" tint="-0.249977111117893"/>
        <rFont val="Arial"/>
        <family val="2"/>
      </rPr>
      <t>Trockenmasseaufnahme</t>
    </r>
    <r>
      <rPr>
        <sz val="10"/>
        <rFont val="Arial"/>
        <family val="2"/>
      </rPr>
      <t xml:space="preserve"> der Tiere bekannt sein. Zur groben Orientierung können dazu auch die Werte aus der DLG-Information 01/2025 (Tabelle 10) herangezogen werden. Die Eingaben in diesen Felder sind an Ihre Herde anzupassen und entsprechend blau hinterlegt. Aus den eingegebenen Daten zur Körpermasse und zur täglichen Trockenmasseaufnahme wird das Futteraufnahmeniveau (FAN) berechnet. Die Auswahl der Futtermittel erfolgt über Auswahlfelder. Sofern betriebsspezifische Futterwerte angenommen werden sollen, sind die Futtermittel in der Futterwerttabelle</t>
    </r>
    <r>
      <rPr>
        <b/>
        <sz val="10"/>
        <color theme="3" tint="0.39997558519241921"/>
        <rFont val="Arial"/>
        <family val="2"/>
      </rPr>
      <t xml:space="preserve"> "Futterwerte"</t>
    </r>
    <r>
      <rPr>
        <sz val="10"/>
        <rFont val="Arial"/>
        <family val="2"/>
      </rPr>
      <t xml:space="preserve">  anzulegen. Die entsprechenden Mengen werden in der 1. Spalte eingegeben.
Nach erfolgter Eingabe werden die Rationskennzahlen als Summe und je kg Trockenmasse ausgewiesen. Die theoretische Futteraufnahme wird der eingegebenen gegenüber gestellt. 
Die Mineralstoffversorgung wird als Bilanz dargestellt.
Eine Ampelfunktion zeigt die Plausibilität, bzw. Zulässigkeit wesentlicher Kennzahlen an. Lückenhafte Datensätze werden gekennzeichnet. Die Daten sind hier auf Plausibilität zu prüfen, evtl. fehlende Daten sind in der Futterwerttabelle </t>
    </r>
    <r>
      <rPr>
        <b/>
        <sz val="10"/>
        <color theme="4"/>
        <rFont val="Arial"/>
        <family val="2"/>
      </rPr>
      <t>"Futterwerte"</t>
    </r>
    <r>
      <rPr>
        <sz val="10"/>
        <rFont val="Arial"/>
        <family val="2"/>
      </rPr>
      <t xml:space="preserve"> zu ergänzen. 
Über die Gliederungsfunktion (+) lassen sich weitere Kennzahlen der Futterration ein- bzw. ausblenden.
Die ermittelten Ergebnisse lassen sich als festgelegter Druckbereich ausdrucken.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</si>
</sst>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164" formatCode="_-* #,##0.00\ _D_M_-;\-* #,##0.00\ _D_M_-;_-* &quot;-&quot;??\ _D_M_-;_-@_-"/>
    <numFmt numFmtId="165" formatCode="0.0"/>
    <numFmt numFmtId="166" formatCode="0.000"/>
    <numFmt numFmtId="167" formatCode=";;;"/>
    <numFmt numFmtId="168" formatCode="0.0%"/>
    <numFmt numFmtId="169" formatCode="0\g"/>
    <numFmt numFmtId="170" formatCode=";;"/>
    <numFmt numFmtId="171" formatCode="dd/mm/yy\ \ \ \ \ h:mm"/>
    <numFmt numFmtId="172" formatCode="0%\ &quot;TS&quot;"/>
    <numFmt numFmtId="173" formatCode="0.0&quot; g/kg TM&quot;"/>
    <numFmt numFmtId="174" formatCode="0&quot; g/kg TM&quot;"/>
    <numFmt numFmtId="175" formatCode="\+_##0;[Black]\-_##0"/>
    <numFmt numFmtId="176" formatCode="\+_##0.0;[Black]\-_##0.0"/>
    <numFmt numFmtId="177" formatCode="0.00\g"/>
    <numFmt numFmtId="178" formatCode="0%\ &quot;TM&quot;"/>
  </numFmts>
  <fonts count="56" x14ac:knownFonts="1">
    <font>
      <sz val="10"/>
      <name val="Arial"/>
    </font>
    <font>
      <b/>
      <sz val="10"/>
      <name val="Arial"/>
      <family val="2"/>
    </font>
    <font>
      <sz val="10"/>
      <name val="Arial"/>
      <family val="2"/>
    </font>
    <font>
      <sz val="10"/>
      <name val="Times New Roman"/>
      <family val="1"/>
    </font>
    <font>
      <sz val="12"/>
      <name val="Arial"/>
      <family val="2"/>
    </font>
    <font>
      <sz val="14"/>
      <name val="Arial"/>
      <family val="2"/>
    </font>
    <font>
      <b/>
      <sz val="12"/>
      <name val="Arial"/>
      <family val="2"/>
    </font>
    <font>
      <sz val="8"/>
      <name val="Arial"/>
      <family val="2"/>
    </font>
    <font>
      <sz val="9"/>
      <name val="Arial"/>
      <family val="2"/>
    </font>
    <font>
      <sz val="8"/>
      <color indexed="81"/>
      <name val="Tahoma"/>
      <family val="2"/>
    </font>
    <font>
      <b/>
      <sz val="9"/>
      <name val="Arial"/>
      <family val="2"/>
    </font>
    <font>
      <sz val="9"/>
      <name val="Times New Roman"/>
      <family val="1"/>
    </font>
    <font>
      <sz val="9"/>
      <color indexed="12"/>
      <name val="Arial"/>
      <family val="2"/>
    </font>
    <font>
      <b/>
      <sz val="9"/>
      <color indexed="10"/>
      <name val="Arial"/>
      <family val="2"/>
    </font>
    <font>
      <sz val="9"/>
      <name val="Wingdings"/>
      <charset val="2"/>
    </font>
    <font>
      <b/>
      <sz val="9"/>
      <name val="Wingdings"/>
      <charset val="2"/>
    </font>
    <font>
      <sz val="7"/>
      <name val="Arial"/>
      <family val="2"/>
    </font>
    <font>
      <sz val="12"/>
      <name val="Wingdings"/>
      <charset val="2"/>
    </font>
    <font>
      <b/>
      <sz val="12"/>
      <name val="Wingdings"/>
      <charset val="2"/>
    </font>
    <font>
      <b/>
      <sz val="9"/>
      <color indexed="18"/>
      <name val="Arial"/>
      <family val="2"/>
    </font>
    <font>
      <b/>
      <sz val="9"/>
      <color indexed="32"/>
      <name val="Arial"/>
      <family val="2"/>
    </font>
    <font>
      <b/>
      <i/>
      <sz val="9"/>
      <name val="Arial"/>
      <family val="2"/>
    </font>
    <font>
      <i/>
      <sz val="7"/>
      <name val="Arial"/>
      <family val="2"/>
    </font>
    <font>
      <i/>
      <sz val="7"/>
      <name val="Courier New"/>
      <family val="3"/>
    </font>
    <font>
      <b/>
      <i/>
      <u/>
      <sz val="9"/>
      <name val="Arial"/>
      <family val="2"/>
    </font>
    <font>
      <i/>
      <u/>
      <sz val="9"/>
      <name val="Arial"/>
      <family val="2"/>
    </font>
    <font>
      <u/>
      <sz val="10"/>
      <color theme="10"/>
      <name val="Arial"/>
      <family val="2"/>
    </font>
    <font>
      <b/>
      <sz val="10"/>
      <color theme="3" tint="0.39997558519241921"/>
      <name val="Arial"/>
      <family val="2"/>
    </font>
    <font>
      <b/>
      <sz val="9"/>
      <color theme="1"/>
      <name val="Arial"/>
      <family val="2"/>
    </font>
    <font>
      <b/>
      <sz val="9"/>
      <color rgb="FF0000CC"/>
      <name val="Arial"/>
      <family val="2"/>
    </font>
    <font>
      <b/>
      <sz val="8"/>
      <color theme="1"/>
      <name val="Arial"/>
      <family val="2"/>
    </font>
    <font>
      <sz val="8"/>
      <color theme="1"/>
      <name val="Arial"/>
      <family val="2"/>
    </font>
    <font>
      <sz val="7"/>
      <color rgb="FF0000CC"/>
      <name val="Arial"/>
      <family val="2"/>
    </font>
    <font>
      <b/>
      <sz val="10"/>
      <color theme="4"/>
      <name val="Arial"/>
      <family val="2"/>
    </font>
    <font>
      <sz val="48"/>
      <color theme="0" tint="-0.499984740745262"/>
      <name val="Arial"/>
      <family val="2"/>
    </font>
    <font>
      <sz val="10"/>
      <color theme="0" tint="-0.499984740745262"/>
      <name val="Arial"/>
      <family val="2"/>
    </font>
    <font>
      <b/>
      <sz val="18"/>
      <color theme="0" tint="-0.499984740745262"/>
      <name val="Arial"/>
      <family val="2"/>
    </font>
    <font>
      <sz val="14"/>
      <color theme="0" tint="-0.499984740745262"/>
      <name val="Arial"/>
      <family val="2"/>
    </font>
    <font>
      <sz val="9"/>
      <color rgb="FFFFFFCC"/>
      <name val="Arial"/>
      <family val="2"/>
    </font>
    <font>
      <sz val="9"/>
      <color rgb="FFC00000"/>
      <name val="Arial"/>
      <family val="2"/>
    </font>
    <font>
      <sz val="9"/>
      <color theme="1"/>
      <name val="Arial"/>
      <family val="2"/>
    </font>
    <font>
      <b/>
      <sz val="11"/>
      <name val="Calibri"/>
      <family val="2"/>
    </font>
    <font>
      <b/>
      <vertAlign val="subscript"/>
      <sz val="11"/>
      <name val="Calibri"/>
      <family val="2"/>
    </font>
    <font>
      <sz val="9"/>
      <color rgb="FFFF0000"/>
      <name val="Arial"/>
      <family val="2"/>
    </font>
    <font>
      <b/>
      <sz val="9"/>
      <color rgb="FFE6E6E6"/>
      <name val="Arial"/>
      <family val="2"/>
    </font>
    <font>
      <sz val="9"/>
      <color rgb="FFE6E6E6"/>
      <name val="Arial"/>
      <family val="2"/>
    </font>
    <font>
      <sz val="30"/>
      <color theme="0" tint="-0.499984740745262"/>
      <name val="Arial"/>
      <family val="2"/>
    </font>
    <font>
      <sz val="9"/>
      <color rgb="FFFFFFE0"/>
      <name val="Arial"/>
      <family val="2"/>
    </font>
    <font>
      <sz val="11"/>
      <name val="BaWue Sans"/>
    </font>
    <font>
      <sz val="11"/>
      <name val="Cambria"/>
      <family val="1"/>
    </font>
    <font>
      <sz val="11"/>
      <color rgb="FF000000"/>
      <name val="BaWue Sans"/>
    </font>
    <font>
      <vertAlign val="superscript"/>
      <sz val="11"/>
      <color rgb="FF000000"/>
      <name val="BaWue Sans"/>
    </font>
    <font>
      <sz val="10"/>
      <color rgb="FFFF0000"/>
      <name val="Arial"/>
      <family val="2"/>
    </font>
    <font>
      <b/>
      <sz val="10"/>
      <color theme="9" tint="-0.249977111117893"/>
      <name val="Arial"/>
      <family val="2"/>
    </font>
    <font>
      <sz val="8"/>
      <color rgb="FF000000"/>
      <name val="Arial"/>
      <family val="2"/>
    </font>
    <font>
      <strike/>
      <sz val="10"/>
      <color rgb="FFFF0000"/>
      <name val="Arial"/>
      <family val="2"/>
    </font>
  </fonts>
  <fills count="26">
    <fill>
      <patternFill patternType="none"/>
    </fill>
    <fill>
      <patternFill patternType="gray125"/>
    </fill>
    <fill>
      <patternFill patternType="solid">
        <fgColor indexed="26"/>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55"/>
        <bgColor indexed="64"/>
      </patternFill>
    </fill>
    <fill>
      <patternFill patternType="solid">
        <fgColor rgb="FFFFFFDD"/>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E1"/>
        <bgColor indexed="64"/>
      </patternFill>
    </fill>
    <fill>
      <patternFill patternType="solid">
        <fgColor theme="0" tint="-4.9989318521683403E-2"/>
        <bgColor indexed="64"/>
      </patternFill>
    </fill>
    <fill>
      <patternFill patternType="solid">
        <fgColor rgb="FFCBCBCB"/>
        <bgColor indexed="64"/>
      </patternFill>
    </fill>
    <fill>
      <patternFill patternType="solid">
        <fgColor rgb="FF92D050"/>
        <bgColor indexed="64"/>
      </patternFill>
    </fill>
    <fill>
      <patternFill patternType="solid">
        <fgColor rgb="FFF9F9E7"/>
        <bgColor indexed="64"/>
      </patternFill>
    </fill>
    <fill>
      <patternFill patternType="solid">
        <fgColor rgb="FFFFFFE0"/>
        <bgColor indexed="64"/>
      </patternFill>
    </fill>
    <fill>
      <patternFill patternType="solid">
        <fgColor rgb="FFE6E6E6"/>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theme="3" tint="0.39997558519241921"/>
        <bgColor indexed="64"/>
      </patternFill>
    </fill>
    <fill>
      <patternFill patternType="solid">
        <fgColor rgb="FFC3EBF5"/>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8" tint="0.39997558519241921"/>
        <bgColor indexed="64"/>
      </patternFill>
    </fill>
  </fills>
  <borders count="116">
    <border>
      <left/>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right/>
      <top style="medium">
        <color indexed="64"/>
      </top>
      <bottom style="medium">
        <color indexed="64"/>
      </bottom>
      <diagonal/>
    </border>
    <border>
      <left/>
      <right/>
      <top/>
      <bottom style="double">
        <color indexed="64"/>
      </bottom>
      <diagonal/>
    </border>
    <border>
      <left/>
      <right style="double">
        <color indexed="64"/>
      </right>
      <top style="double">
        <color indexed="64"/>
      </top>
      <bottom/>
      <diagonal/>
    </border>
    <border>
      <left/>
      <right style="double">
        <color indexed="64"/>
      </right>
      <top/>
      <bottom/>
      <diagonal/>
    </border>
    <border>
      <left style="thin">
        <color indexed="64"/>
      </left>
      <right style="thin">
        <color indexed="64"/>
      </right>
      <top/>
      <bottom/>
      <diagonal/>
    </border>
    <border>
      <left style="thin">
        <color indexed="64"/>
      </left>
      <right/>
      <top/>
      <bottom/>
      <diagonal/>
    </border>
    <border>
      <left style="double">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style="double">
        <color indexed="64"/>
      </right>
      <top/>
      <bottom style="double">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thin">
        <color indexed="64"/>
      </right>
      <top/>
      <bottom/>
      <diagonal/>
    </border>
    <border>
      <left style="double">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double">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style="double">
        <color auto="1"/>
      </top>
      <bottom/>
      <diagonal/>
    </border>
    <border>
      <left style="double">
        <color indexed="64"/>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auto="1"/>
      </left>
      <right style="thin">
        <color auto="1"/>
      </right>
      <top style="thin">
        <color auto="1"/>
      </top>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auto="1"/>
      </top>
      <bottom style="thin">
        <color auto="1"/>
      </bottom>
      <diagonal/>
    </border>
    <border>
      <left style="double">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double">
        <color indexed="64"/>
      </left>
      <right style="medium">
        <color indexed="64"/>
      </right>
      <top/>
      <bottom/>
      <diagonal/>
    </border>
    <border>
      <left style="thin">
        <color indexed="64"/>
      </left>
      <right style="medium">
        <color indexed="64"/>
      </right>
      <top/>
      <bottom/>
      <diagonal/>
    </border>
    <border>
      <left/>
      <right style="medium">
        <color indexed="64"/>
      </right>
      <top style="thin">
        <color indexed="64"/>
      </top>
      <bottom/>
      <diagonal/>
    </border>
    <border>
      <left/>
      <right/>
      <top/>
      <bottom style="thin">
        <color rgb="FFFFFFE0"/>
      </bottom>
      <diagonal/>
    </border>
    <border>
      <left/>
      <right/>
      <top style="thin">
        <color rgb="FFFFFFE0"/>
      </top>
      <bottom style="thin">
        <color indexed="64"/>
      </bottom>
      <diagonal/>
    </border>
    <border>
      <left style="thin">
        <color indexed="64"/>
      </left>
      <right style="medium">
        <color indexed="64"/>
      </right>
      <top style="thin">
        <color auto="1"/>
      </top>
      <bottom/>
      <diagonal/>
    </border>
  </borders>
  <cellStyleXfs count="11">
    <xf numFmtId="0" fontId="0" fillId="0" borderId="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 fillId="0" borderId="0"/>
    <xf numFmtId="0" fontId="2" fillId="0" borderId="0"/>
    <xf numFmtId="0" fontId="2" fillId="0" borderId="0"/>
    <xf numFmtId="0" fontId="3" fillId="0" borderId="0"/>
    <xf numFmtId="0" fontId="2" fillId="0" borderId="0"/>
    <xf numFmtId="0" fontId="2" fillId="0" borderId="0"/>
    <xf numFmtId="0" fontId="26" fillId="0" borderId="0" applyNumberFormat="0" applyFill="0" applyBorder="0" applyAlignment="0" applyProtection="0"/>
  </cellStyleXfs>
  <cellXfs count="941">
    <xf numFmtId="0" fontId="0" fillId="0" borderId="0" xfId="0"/>
    <xf numFmtId="170" fontId="8" fillId="5" borderId="51" xfId="6" applyNumberFormat="1" applyFont="1" applyFill="1" applyBorder="1" applyAlignment="1" applyProtection="1">
      <alignment horizontal="centerContinuous"/>
      <protection locked="0"/>
    </xf>
    <xf numFmtId="170" fontId="8" fillId="0" borderId="31" xfId="6" applyNumberFormat="1" applyFont="1" applyBorder="1" applyAlignment="1" applyProtection="1">
      <alignment horizontal="left" vertical="center"/>
      <protection locked="0"/>
    </xf>
    <xf numFmtId="170" fontId="8" fillId="0" borderId="21" xfId="6" applyNumberFormat="1" applyFont="1" applyBorder="1" applyAlignment="1" applyProtection="1">
      <alignment horizontal="left" vertical="center"/>
      <protection locked="0"/>
    </xf>
    <xf numFmtId="170" fontId="8" fillId="0" borderId="16" xfId="6" applyNumberFormat="1" applyFont="1" applyBorder="1" applyAlignment="1" applyProtection="1">
      <alignment horizontal="left" vertical="center"/>
      <protection locked="0"/>
    </xf>
    <xf numFmtId="0" fontId="8" fillId="0" borderId="0" xfId="6" applyFont="1" applyProtection="1">
      <protection locked="0"/>
    </xf>
    <xf numFmtId="2" fontId="8" fillId="0" borderId="72" xfId="6" applyNumberFormat="1" applyFont="1" applyBorder="1" applyAlignment="1" applyProtection="1">
      <alignment horizontal="center" vertical="center"/>
      <protection locked="0"/>
    </xf>
    <xf numFmtId="2" fontId="8" fillId="0" borderId="71" xfId="6" applyNumberFormat="1" applyFont="1" applyBorder="1" applyAlignment="1" applyProtection="1">
      <alignment horizontal="center" vertical="center"/>
      <protection locked="0"/>
    </xf>
    <xf numFmtId="2" fontId="8" fillId="0" borderId="79" xfId="6" applyNumberFormat="1" applyFont="1" applyBorder="1" applyAlignment="1" applyProtection="1">
      <alignment horizontal="center" vertical="center"/>
      <protection locked="0"/>
    </xf>
    <xf numFmtId="2" fontId="8" fillId="0" borderId="70" xfId="6" applyNumberFormat="1" applyFont="1" applyBorder="1" applyAlignment="1" applyProtection="1">
      <alignment horizontal="center" vertical="center"/>
      <protection locked="0"/>
    </xf>
    <xf numFmtId="0" fontId="8" fillId="0" borderId="0" xfId="6" applyFont="1" applyAlignment="1" applyProtection="1">
      <alignment horizontal="center" vertical="center"/>
      <protection locked="0"/>
    </xf>
    <xf numFmtId="0" fontId="2" fillId="7" borderId="0" xfId="0" applyFont="1" applyFill="1"/>
    <xf numFmtId="0" fontId="0" fillId="7" borderId="0" xfId="0" applyFill="1"/>
    <xf numFmtId="0" fontId="0" fillId="7" borderId="0" xfId="0" applyFill="1" applyAlignment="1">
      <alignment horizontal="center"/>
    </xf>
    <xf numFmtId="0" fontId="2" fillId="7" borderId="0" xfId="0" applyFont="1" applyFill="1" applyAlignment="1">
      <alignment horizontal="center"/>
    </xf>
    <xf numFmtId="0" fontId="6" fillId="7" borderId="0" xfId="0" applyFont="1" applyFill="1"/>
    <xf numFmtId="0" fontId="1" fillId="7" borderId="83" xfId="0" applyFont="1" applyFill="1" applyBorder="1" applyAlignment="1">
      <alignment horizontal="center"/>
    </xf>
    <xf numFmtId="9" fontId="0" fillId="11" borderId="83" xfId="0" applyNumberFormat="1" applyFill="1" applyBorder="1" applyAlignment="1" applyProtection="1">
      <alignment horizontal="center"/>
      <protection locked="0"/>
    </xf>
    <xf numFmtId="0" fontId="0" fillId="11" borderId="83" xfId="0" applyFill="1" applyBorder="1" applyAlignment="1" applyProtection="1">
      <alignment horizontal="center"/>
      <protection locked="0"/>
    </xf>
    <xf numFmtId="1" fontId="0" fillId="11" borderId="83" xfId="0" applyNumberFormat="1" applyFill="1" applyBorder="1" applyAlignment="1" applyProtection="1">
      <alignment horizontal="center"/>
      <protection locked="0"/>
    </xf>
    <xf numFmtId="0" fontId="35" fillId="7" borderId="0" xfId="0" applyFont="1" applyFill="1" applyAlignment="1">
      <alignment horizontal="center" vertical="center"/>
    </xf>
    <xf numFmtId="0" fontId="0" fillId="11" borderId="90" xfId="0" applyFill="1" applyBorder="1" applyAlignment="1" applyProtection="1">
      <alignment horizontal="center"/>
      <protection locked="0"/>
    </xf>
    <xf numFmtId="0" fontId="2" fillId="7" borderId="0" xfId="0" applyFont="1" applyFill="1" applyAlignment="1">
      <alignment horizontal="left"/>
    </xf>
    <xf numFmtId="170" fontId="8" fillId="0" borderId="68" xfId="6" applyNumberFormat="1" applyFont="1" applyBorder="1" applyAlignment="1" applyProtection="1">
      <alignment horizontal="left" vertical="center"/>
      <protection locked="0"/>
    </xf>
    <xf numFmtId="170" fontId="8" fillId="0" borderId="29" xfId="6" applyNumberFormat="1" applyFont="1" applyBorder="1" applyAlignment="1" applyProtection="1">
      <alignment horizontal="left" vertical="center"/>
      <protection locked="0"/>
    </xf>
    <xf numFmtId="0" fontId="8" fillId="0" borderId="53" xfId="6" applyFont="1" applyBorder="1" applyAlignment="1" applyProtection="1">
      <alignment horizontal="center" vertical="center"/>
      <protection locked="0"/>
    </xf>
    <xf numFmtId="0" fontId="10" fillId="0" borderId="48" xfId="6" applyFont="1" applyBorder="1" applyAlignment="1" applyProtection="1">
      <alignment horizontal="center"/>
      <protection locked="0"/>
    </xf>
    <xf numFmtId="0" fontId="8" fillId="17" borderId="0" xfId="6" applyFont="1" applyFill="1" applyProtection="1">
      <protection locked="0"/>
    </xf>
    <xf numFmtId="0" fontId="8" fillId="14" borderId="0" xfId="6" applyFont="1" applyFill="1" applyProtection="1">
      <protection locked="0"/>
    </xf>
    <xf numFmtId="0" fontId="8" fillId="17" borderId="0" xfId="6" applyFont="1" applyFill="1" applyAlignment="1" applyProtection="1">
      <alignment vertical="top"/>
      <protection locked="0"/>
    </xf>
    <xf numFmtId="0" fontId="8" fillId="14" borderId="0" xfId="6" applyFont="1" applyFill="1" applyAlignment="1" applyProtection="1">
      <alignment vertical="top"/>
      <protection locked="0"/>
    </xf>
    <xf numFmtId="0" fontId="8" fillId="17" borderId="0" xfId="6" applyFont="1" applyFill="1" applyAlignment="1" applyProtection="1">
      <alignment horizontal="center"/>
      <protection locked="0"/>
    </xf>
    <xf numFmtId="0" fontId="8" fillId="14" borderId="0" xfId="6" applyFont="1" applyFill="1" applyAlignment="1" applyProtection="1">
      <alignment horizontal="center"/>
      <protection locked="0"/>
    </xf>
    <xf numFmtId="0" fontId="8" fillId="17" borderId="5" xfId="4" applyFont="1" applyFill="1" applyBorder="1" applyProtection="1">
      <protection locked="0"/>
    </xf>
    <xf numFmtId="0" fontId="8" fillId="17" borderId="5" xfId="4" applyFont="1" applyFill="1" applyBorder="1" applyAlignment="1" applyProtection="1">
      <alignment horizontal="center" vertical="center"/>
      <protection locked="0"/>
    </xf>
    <xf numFmtId="0" fontId="10" fillId="17" borderId="24" xfId="4" applyFont="1" applyFill="1" applyBorder="1" applyProtection="1">
      <protection locked="0"/>
    </xf>
    <xf numFmtId="0" fontId="8" fillId="17" borderId="0" xfId="8" applyFont="1" applyFill="1" applyProtection="1">
      <protection locked="0"/>
    </xf>
    <xf numFmtId="0" fontId="8" fillId="16" borderId="0" xfId="6" applyFont="1" applyFill="1" applyProtection="1">
      <protection locked="0"/>
    </xf>
    <xf numFmtId="2" fontId="8" fillId="18" borderId="44" xfId="6" applyNumberFormat="1" applyFont="1" applyFill="1" applyBorder="1" applyAlignment="1" applyProtection="1">
      <alignment horizontal="center" vertical="center"/>
    </xf>
    <xf numFmtId="1" fontId="8" fillId="18" borderId="40" xfId="6" applyNumberFormat="1" applyFont="1" applyFill="1" applyBorder="1" applyAlignment="1" applyProtection="1">
      <alignment horizontal="center" vertical="center"/>
    </xf>
    <xf numFmtId="0" fontId="8" fillId="18" borderId="32" xfId="6" applyFont="1" applyFill="1" applyBorder="1" applyAlignment="1" applyProtection="1">
      <alignment horizontal="center" vertical="center"/>
    </xf>
    <xf numFmtId="0" fontId="8" fillId="18" borderId="77" xfId="6" applyFont="1" applyFill="1" applyBorder="1" applyAlignment="1" applyProtection="1">
      <alignment horizontal="center" vertical="center"/>
    </xf>
    <xf numFmtId="0" fontId="8" fillId="18" borderId="17" xfId="6" applyFont="1" applyFill="1" applyBorder="1" applyAlignment="1" applyProtection="1">
      <alignment horizontal="center" vertical="center"/>
    </xf>
    <xf numFmtId="1" fontId="8" fillId="18" borderId="23" xfId="6" applyNumberFormat="1" applyFont="1" applyFill="1" applyBorder="1" applyAlignment="1" applyProtection="1">
      <alignment horizontal="center" vertical="center"/>
    </xf>
    <xf numFmtId="0" fontId="8" fillId="17" borderId="0" xfId="6" applyFont="1" applyFill="1" applyAlignment="1" applyProtection="1">
      <alignment horizontal="center" vertical="center"/>
    </xf>
    <xf numFmtId="0" fontId="8" fillId="12" borderId="0" xfId="6" applyFont="1" applyFill="1" applyAlignment="1" applyProtection="1">
      <alignment horizontal="centerContinuous"/>
    </xf>
    <xf numFmtId="0" fontId="8" fillId="12" borderId="0" xfId="6" applyFont="1" applyFill="1" applyProtection="1"/>
    <xf numFmtId="0" fontId="8" fillId="18" borderId="94" xfId="6" applyFont="1" applyFill="1" applyBorder="1" applyAlignment="1" applyProtection="1">
      <alignment horizontal="center" vertical="center"/>
    </xf>
    <xf numFmtId="0" fontId="8" fillId="18" borderId="64" xfId="6" applyFont="1" applyFill="1" applyBorder="1" applyAlignment="1" applyProtection="1">
      <alignment horizontal="center" vertical="center"/>
    </xf>
    <xf numFmtId="0" fontId="7" fillId="18" borderId="15" xfId="6" quotePrefix="1" applyFont="1" applyFill="1" applyBorder="1" applyAlignment="1" applyProtection="1">
      <alignment horizontal="center" vertical="center" wrapText="1"/>
    </xf>
    <xf numFmtId="177" fontId="7" fillId="18" borderId="15" xfId="6" applyNumberFormat="1" applyFont="1" applyFill="1" applyBorder="1" applyAlignment="1" applyProtection="1">
      <alignment horizontal="center" vertical="center" wrapText="1"/>
    </xf>
    <xf numFmtId="0" fontId="8" fillId="12" borderId="0" xfId="6" applyFont="1" applyFill="1" applyAlignment="1" applyProtection="1">
      <alignment horizontal="center"/>
    </xf>
    <xf numFmtId="0" fontId="8" fillId="17" borderId="0" xfId="6" applyFont="1" applyFill="1" applyAlignment="1" applyProtection="1">
      <alignment vertical="center"/>
    </xf>
    <xf numFmtId="0" fontId="10" fillId="12" borderId="0" xfId="6" applyFont="1" applyFill="1" applyAlignment="1" applyProtection="1">
      <alignment horizontal="left"/>
    </xf>
    <xf numFmtId="0" fontId="8" fillId="18" borderId="29" xfId="6" applyFont="1" applyFill="1" applyBorder="1" applyAlignment="1" applyProtection="1">
      <alignment horizontal="centerContinuous"/>
    </xf>
    <xf numFmtId="0" fontId="8" fillId="18" borderId="4" xfId="6" applyFont="1" applyFill="1" applyBorder="1" applyAlignment="1" applyProtection="1">
      <alignment horizontal="centerContinuous"/>
    </xf>
    <xf numFmtId="0" fontId="8" fillId="18" borderId="30" xfId="6" applyFont="1" applyFill="1" applyBorder="1" applyAlignment="1" applyProtection="1">
      <alignment horizontal="center" vertical="center" wrapText="1"/>
    </xf>
    <xf numFmtId="0" fontId="8" fillId="18" borderId="19" xfId="6" applyFont="1" applyFill="1" applyBorder="1" applyAlignment="1" applyProtection="1">
      <alignment horizontal="center" vertical="center" wrapText="1"/>
    </xf>
    <xf numFmtId="0" fontId="10" fillId="18" borderId="39" xfId="6" applyFont="1" applyFill="1" applyBorder="1" applyAlignment="1" applyProtection="1">
      <alignment horizontal="center" vertical="center" wrapText="1"/>
    </xf>
    <xf numFmtId="0" fontId="8" fillId="18" borderId="62" xfId="6" applyFont="1" applyFill="1" applyBorder="1" applyAlignment="1" applyProtection="1">
      <alignment horizontal="center" vertical="center" wrapText="1"/>
    </xf>
    <xf numFmtId="0" fontId="10" fillId="18" borderId="77" xfId="6" applyFont="1" applyFill="1" applyBorder="1" applyAlignment="1" applyProtection="1">
      <alignment horizontal="center" vertical="center"/>
    </xf>
    <xf numFmtId="0" fontId="8" fillId="18" borderId="71" xfId="6" applyFont="1" applyFill="1" applyBorder="1" applyAlignment="1" applyProtection="1">
      <alignment horizontal="center" vertical="center"/>
    </xf>
    <xf numFmtId="165" fontId="8" fillId="18" borderId="19" xfId="6" applyNumberFormat="1" applyFont="1" applyFill="1" applyBorder="1" applyAlignment="1" applyProtection="1">
      <alignment horizontal="center" vertical="center"/>
    </xf>
    <xf numFmtId="1" fontId="8" fillId="18" borderId="62" xfId="6" applyNumberFormat="1" applyFont="1" applyFill="1" applyBorder="1" applyAlignment="1" applyProtection="1">
      <alignment horizontal="center" vertical="center"/>
    </xf>
    <xf numFmtId="2" fontId="8" fillId="18" borderId="30" xfId="6" applyNumberFormat="1" applyFont="1" applyFill="1" applyBorder="1" applyAlignment="1" applyProtection="1">
      <alignment horizontal="center" vertical="center"/>
    </xf>
    <xf numFmtId="2" fontId="10" fillId="18" borderId="73" xfId="6" applyNumberFormat="1" applyFont="1" applyFill="1" applyBorder="1" applyAlignment="1" applyProtection="1">
      <alignment horizontal="center" vertical="center"/>
    </xf>
    <xf numFmtId="165" fontId="8" fillId="18" borderId="62" xfId="6" applyNumberFormat="1" applyFont="1" applyFill="1" applyBorder="1" applyAlignment="1" applyProtection="1">
      <alignment horizontal="center" vertical="center"/>
    </xf>
    <xf numFmtId="1" fontId="10" fillId="17" borderId="7" xfId="6" applyNumberFormat="1" applyFont="1" applyFill="1" applyBorder="1" applyAlignment="1" applyProtection="1">
      <alignment horizontal="center"/>
    </xf>
    <xf numFmtId="1" fontId="8" fillId="18" borderId="18" xfId="6" applyNumberFormat="1" applyFont="1" applyFill="1" applyBorder="1" applyAlignment="1" applyProtection="1">
      <alignment horizontal="center" vertical="center"/>
    </xf>
    <xf numFmtId="2" fontId="8" fillId="18" borderId="35" xfId="6" applyNumberFormat="1" applyFont="1" applyFill="1" applyBorder="1" applyAlignment="1" applyProtection="1">
      <alignment horizontal="center" vertical="center"/>
    </xf>
    <xf numFmtId="165" fontId="8" fillId="18" borderId="82" xfId="6" applyNumberFormat="1" applyFont="1" applyFill="1" applyBorder="1" applyAlignment="1" applyProtection="1">
      <alignment horizontal="center" vertical="center"/>
    </xf>
    <xf numFmtId="165" fontId="8" fillId="18" borderId="18" xfId="6" applyNumberFormat="1" applyFont="1" applyFill="1" applyBorder="1" applyAlignment="1" applyProtection="1">
      <alignment horizontal="center" vertical="center"/>
    </xf>
    <xf numFmtId="165" fontId="8" fillId="18" borderId="32" xfId="6" applyNumberFormat="1" applyFont="1" applyFill="1" applyBorder="1" applyAlignment="1" applyProtection="1">
      <alignment horizontal="center" vertical="center"/>
    </xf>
    <xf numFmtId="165" fontId="8" fillId="18" borderId="15" xfId="6" applyNumberFormat="1" applyFont="1" applyFill="1" applyBorder="1" applyAlignment="1" applyProtection="1">
      <alignment horizontal="center" vertical="center"/>
    </xf>
    <xf numFmtId="2" fontId="8" fillId="18" borderId="32" xfId="6" applyNumberFormat="1" applyFont="1" applyFill="1" applyBorder="1" applyAlignment="1" applyProtection="1">
      <alignment horizontal="center" vertical="center"/>
    </xf>
    <xf numFmtId="2" fontId="10" fillId="18" borderId="74" xfId="6" applyNumberFormat="1" applyFont="1" applyFill="1" applyBorder="1" applyAlignment="1" applyProtection="1">
      <alignment horizontal="center" vertical="center"/>
    </xf>
    <xf numFmtId="165" fontId="8" fillId="18" borderId="64" xfId="6" applyNumberFormat="1" applyFont="1" applyFill="1" applyBorder="1" applyAlignment="1" applyProtection="1">
      <alignment horizontal="center" vertical="center"/>
    </xf>
    <xf numFmtId="1" fontId="8" fillId="18" borderId="64" xfId="6" applyNumberFormat="1" applyFont="1" applyFill="1" applyBorder="1" applyAlignment="1" applyProtection="1">
      <alignment horizontal="center" vertical="center"/>
    </xf>
    <xf numFmtId="167" fontId="8" fillId="17" borderId="0" xfId="6" applyNumberFormat="1" applyFont="1" applyFill="1" applyAlignment="1" applyProtection="1">
      <alignment vertical="center"/>
    </xf>
    <xf numFmtId="165" fontId="8" fillId="17" borderId="0" xfId="6" applyNumberFormat="1" applyFont="1" applyFill="1" applyAlignment="1" applyProtection="1">
      <alignment horizontal="center" vertical="center"/>
    </xf>
    <xf numFmtId="2" fontId="10" fillId="18" borderId="4" xfId="6" applyNumberFormat="1" applyFont="1" applyFill="1" applyBorder="1" applyAlignment="1" applyProtection="1">
      <alignment horizontal="center" vertical="center"/>
    </xf>
    <xf numFmtId="1" fontId="8" fillId="18" borderId="20" xfId="6" applyNumberFormat="1" applyFont="1" applyFill="1" applyBorder="1" applyAlignment="1" applyProtection="1">
      <alignment horizontal="center" vertical="center"/>
    </xf>
    <xf numFmtId="0" fontId="8" fillId="18" borderId="55" xfId="6" applyFont="1" applyFill="1" applyBorder="1" applyAlignment="1" applyProtection="1">
      <alignment vertical="center"/>
    </xf>
    <xf numFmtId="178" fontId="8" fillId="6" borderId="55" xfId="6" applyNumberFormat="1" applyFont="1" applyFill="1" applyBorder="1" applyAlignment="1" applyProtection="1">
      <alignment horizontal="center" vertical="center"/>
    </xf>
    <xf numFmtId="172" fontId="8" fillId="6" borderId="26" xfId="6" applyNumberFormat="1" applyFont="1" applyFill="1" applyBorder="1" applyAlignment="1" applyProtection="1">
      <alignment horizontal="center" vertical="center"/>
    </xf>
    <xf numFmtId="2" fontId="29" fillId="18" borderId="45" xfId="6" applyNumberFormat="1" applyFont="1" applyFill="1" applyBorder="1" applyAlignment="1" applyProtection="1">
      <alignment horizontal="center" vertical="center"/>
    </xf>
    <xf numFmtId="1" fontId="29" fillId="18" borderId="45" xfId="6" applyNumberFormat="1" applyFont="1" applyFill="1" applyBorder="1" applyAlignment="1" applyProtection="1">
      <alignment horizontal="center" vertical="center"/>
    </xf>
    <xf numFmtId="165" fontId="29" fillId="18" borderId="45" xfId="6" applyNumberFormat="1" applyFont="1" applyFill="1" applyBorder="1" applyAlignment="1" applyProtection="1">
      <alignment horizontal="center" vertical="center"/>
    </xf>
    <xf numFmtId="0" fontId="10" fillId="17" borderId="0" xfId="6" applyFont="1" applyFill="1" applyAlignment="1" applyProtection="1">
      <alignment horizontal="center" vertical="center"/>
    </xf>
    <xf numFmtId="2" fontId="8" fillId="18" borderId="41" xfId="6" applyNumberFormat="1" applyFont="1" applyFill="1" applyBorder="1" applyAlignment="1" applyProtection="1">
      <alignment horizontal="center" vertical="center"/>
    </xf>
    <xf numFmtId="2" fontId="10" fillId="18" borderId="43" xfId="6" applyNumberFormat="1" applyFont="1" applyFill="1" applyBorder="1" applyAlignment="1" applyProtection="1">
      <alignment horizontal="center" vertical="center"/>
    </xf>
    <xf numFmtId="165" fontId="8" fillId="18" borderId="42" xfId="6" applyNumberFormat="1" applyFont="1" applyFill="1" applyBorder="1" applyAlignment="1" applyProtection="1">
      <alignment horizontal="center" vertical="center"/>
    </xf>
    <xf numFmtId="1" fontId="8" fillId="18" borderId="11" xfId="6" applyNumberFormat="1" applyFont="1" applyFill="1" applyBorder="1" applyAlignment="1" applyProtection="1">
      <alignment horizontal="center" vertical="center"/>
    </xf>
    <xf numFmtId="165" fontId="8" fillId="18" borderId="11" xfId="6" applyNumberFormat="1" applyFont="1" applyFill="1" applyBorder="1" applyAlignment="1" applyProtection="1">
      <alignment horizontal="center" vertical="center"/>
    </xf>
    <xf numFmtId="1" fontId="8" fillId="18" borderId="12" xfId="6" applyNumberFormat="1" applyFont="1" applyFill="1" applyBorder="1" applyAlignment="1" applyProtection="1">
      <alignment horizontal="center" vertical="center"/>
    </xf>
    <xf numFmtId="1" fontId="29" fillId="18" borderId="47" xfId="6" applyNumberFormat="1" applyFont="1" applyFill="1" applyBorder="1" applyAlignment="1" applyProtection="1">
      <alignment horizontal="center" vertical="center"/>
    </xf>
    <xf numFmtId="165" fontId="29" fillId="18" borderId="47" xfId="6" applyNumberFormat="1" applyFont="1" applyFill="1" applyBorder="1" applyAlignment="1" applyProtection="1">
      <alignment horizontal="center" vertical="center"/>
    </xf>
    <xf numFmtId="170" fontId="8" fillId="17" borderId="0" xfId="6" applyNumberFormat="1" applyFont="1" applyFill="1" applyAlignment="1" applyProtection="1">
      <alignment horizontal="center" vertical="center"/>
    </xf>
    <xf numFmtId="2" fontId="10" fillId="18" borderId="22" xfId="6" applyNumberFormat="1" applyFont="1" applyFill="1" applyBorder="1" applyAlignment="1" applyProtection="1">
      <alignment horizontal="center" vertical="center"/>
    </xf>
    <xf numFmtId="2" fontId="10" fillId="18" borderId="17" xfId="6" applyNumberFormat="1" applyFont="1" applyFill="1" applyBorder="1" applyAlignment="1" applyProtection="1">
      <alignment horizontal="center" vertical="center"/>
    </xf>
    <xf numFmtId="0" fontId="13" fillId="17" borderId="0" xfId="6" applyFont="1" applyFill="1" applyAlignment="1" applyProtection="1">
      <alignment horizontal="center" vertical="center"/>
    </xf>
    <xf numFmtId="0" fontId="8" fillId="18" borderId="93" xfId="6" applyFont="1" applyFill="1" applyBorder="1" applyAlignment="1" applyProtection="1">
      <alignment horizontal="center" vertical="center" wrapText="1"/>
    </xf>
    <xf numFmtId="0" fontId="10" fillId="18" borderId="91" xfId="6" applyFont="1" applyFill="1" applyBorder="1" applyAlignment="1" applyProtection="1">
      <alignment horizontal="center" vertical="center" wrapText="1"/>
    </xf>
    <xf numFmtId="0" fontId="10" fillId="18" borderId="97" xfId="6" applyFont="1" applyFill="1" applyBorder="1" applyAlignment="1" applyProtection="1">
      <alignment horizontal="center" vertical="center" wrapText="1"/>
    </xf>
    <xf numFmtId="0" fontId="8" fillId="18" borderId="94" xfId="6" applyFont="1" applyFill="1" applyBorder="1" applyAlignment="1" applyProtection="1">
      <alignment horizontal="center" vertical="center" wrapText="1"/>
    </xf>
    <xf numFmtId="0" fontId="8" fillId="18" borderId="90" xfId="6" applyFont="1" applyFill="1" applyBorder="1" applyAlignment="1" applyProtection="1">
      <alignment horizontal="center" vertical="center" wrapText="1"/>
    </xf>
    <xf numFmtId="0" fontId="8" fillId="18" borderId="11" xfId="6" applyFont="1" applyFill="1" applyBorder="1" applyAlignment="1" applyProtection="1">
      <alignment horizontal="center" vertical="center" wrapText="1"/>
    </xf>
    <xf numFmtId="165" fontId="28" fillId="18" borderId="34" xfId="6" applyNumberFormat="1" applyFont="1" applyFill="1" applyBorder="1" applyAlignment="1" applyProtection="1">
      <alignment horizontal="center" vertical="center"/>
    </xf>
    <xf numFmtId="165" fontId="28" fillId="18" borderId="23" xfId="6" applyNumberFormat="1" applyFont="1" applyFill="1" applyBorder="1" applyAlignment="1" applyProtection="1">
      <alignment horizontal="center" vertical="center"/>
    </xf>
    <xf numFmtId="165" fontId="28" fillId="18" borderId="4" xfId="6" applyNumberFormat="1" applyFont="1" applyFill="1" applyBorder="1" applyAlignment="1" applyProtection="1">
      <alignment horizontal="center" vertical="center"/>
    </xf>
    <xf numFmtId="0" fontId="8" fillId="18" borderId="44" xfId="6" applyFont="1" applyFill="1" applyBorder="1" applyAlignment="1" applyProtection="1">
      <alignment vertical="center"/>
    </xf>
    <xf numFmtId="178" fontId="8" fillId="18" borderId="46" xfId="6" applyNumberFormat="1" applyFont="1" applyFill="1" applyBorder="1" applyAlignment="1" applyProtection="1">
      <alignment horizontal="center" vertical="center"/>
    </xf>
    <xf numFmtId="172" fontId="8" fillId="18" borderId="26" xfId="6" applyNumberFormat="1" applyFont="1" applyFill="1" applyBorder="1" applyAlignment="1" applyProtection="1">
      <alignment horizontal="center" vertical="center"/>
    </xf>
    <xf numFmtId="165" fontId="30" fillId="18" borderId="34" xfId="6" applyNumberFormat="1" applyFont="1" applyFill="1" applyBorder="1" applyAlignment="1" applyProtection="1">
      <alignment horizontal="center" vertical="center"/>
    </xf>
    <xf numFmtId="9" fontId="31" fillId="15" borderId="34" xfId="2" applyFont="1" applyFill="1" applyBorder="1" applyAlignment="1" applyProtection="1">
      <alignment horizontal="center" vertical="center"/>
    </xf>
    <xf numFmtId="0" fontId="31" fillId="15" borderId="20" xfId="1" applyNumberFormat="1" applyFont="1" applyFill="1" applyBorder="1" applyAlignment="1" applyProtection="1">
      <alignment horizontal="center" vertical="center"/>
    </xf>
    <xf numFmtId="0" fontId="13" fillId="17" borderId="0" xfId="6" applyFont="1" applyFill="1" applyAlignment="1" applyProtection="1">
      <alignment horizontal="right" vertical="center"/>
    </xf>
    <xf numFmtId="165" fontId="10" fillId="18" borderId="44" xfId="6" applyNumberFormat="1" applyFont="1" applyFill="1" applyBorder="1" applyAlignment="1" applyProtection="1">
      <alignment horizontal="center" vertical="center"/>
    </xf>
    <xf numFmtId="1" fontId="10" fillId="18" borderId="49" xfId="6" applyNumberFormat="1" applyFont="1" applyFill="1" applyBorder="1" applyAlignment="1" applyProtection="1">
      <alignment horizontal="left" vertical="top"/>
    </xf>
    <xf numFmtId="1" fontId="10" fillId="18" borderId="66" xfId="6" applyNumberFormat="1" applyFont="1" applyFill="1" applyBorder="1" applyAlignment="1" applyProtection="1">
      <alignment horizontal="left" vertical="top"/>
    </xf>
    <xf numFmtId="0" fontId="8" fillId="18" borderId="22" xfId="6" applyFont="1" applyFill="1" applyBorder="1" applyAlignment="1" applyProtection="1">
      <alignment horizontal="center" vertical="center" wrapText="1"/>
    </xf>
    <xf numFmtId="1" fontId="10" fillId="18" borderId="51" xfId="6" applyNumberFormat="1" applyFont="1" applyFill="1" applyBorder="1" applyAlignment="1" applyProtection="1">
      <alignment horizontal="left" vertical="top"/>
    </xf>
    <xf numFmtId="1" fontId="10" fillId="18" borderId="0" xfId="6" applyNumberFormat="1" applyFont="1" applyFill="1" applyAlignment="1" applyProtection="1">
      <alignment horizontal="left" vertical="top"/>
    </xf>
    <xf numFmtId="173" fontId="16" fillId="18" borderId="65" xfId="6" applyNumberFormat="1" applyFont="1" applyFill="1" applyBorder="1" applyAlignment="1" applyProtection="1">
      <alignment horizontal="center" vertical="center"/>
    </xf>
    <xf numFmtId="173" fontId="16" fillId="18" borderId="87" xfId="6" applyNumberFormat="1" applyFont="1" applyFill="1" applyBorder="1" applyAlignment="1" applyProtection="1">
      <alignment horizontal="center" vertical="center"/>
    </xf>
    <xf numFmtId="173" fontId="32" fillId="18" borderId="34" xfId="6" applyNumberFormat="1" applyFont="1" applyFill="1" applyBorder="1" applyAlignment="1" applyProtection="1">
      <alignment horizontal="center" vertical="center"/>
    </xf>
    <xf numFmtId="173" fontId="32" fillId="18" borderId="20" xfId="6" applyNumberFormat="1" applyFont="1" applyFill="1" applyBorder="1" applyAlignment="1" applyProtection="1">
      <alignment horizontal="center" vertical="center"/>
    </xf>
    <xf numFmtId="174" fontId="32" fillId="18" borderId="20" xfId="6" applyNumberFormat="1" applyFont="1" applyFill="1" applyBorder="1" applyAlignment="1" applyProtection="1">
      <alignment horizontal="center" vertical="center"/>
    </xf>
    <xf numFmtId="1" fontId="10" fillId="18" borderId="53" xfId="6" applyNumberFormat="1" applyFont="1" applyFill="1" applyBorder="1" applyAlignment="1" applyProtection="1">
      <alignment horizontal="left" vertical="top"/>
    </xf>
    <xf numFmtId="1" fontId="10" fillId="18" borderId="26" xfId="6" applyNumberFormat="1" applyFont="1" applyFill="1" applyBorder="1" applyAlignment="1" applyProtection="1">
      <alignment horizontal="left" vertical="top"/>
    </xf>
    <xf numFmtId="9" fontId="31" fillId="15" borderId="44" xfId="2" applyFont="1" applyFill="1" applyBorder="1" applyAlignment="1" applyProtection="1">
      <alignment horizontal="center" vertical="center"/>
    </xf>
    <xf numFmtId="9" fontId="31" fillId="15" borderId="47" xfId="2" applyFont="1" applyFill="1" applyBorder="1" applyAlignment="1" applyProtection="1">
      <alignment horizontal="center" vertical="center"/>
    </xf>
    <xf numFmtId="0" fontId="10" fillId="17" borderId="0" xfId="6" applyFont="1" applyFill="1" applyAlignment="1" applyProtection="1">
      <alignment horizontal="left" vertical="center"/>
    </xf>
    <xf numFmtId="0" fontId="6" fillId="12" borderId="1" xfId="6" applyFont="1" applyFill="1" applyBorder="1" applyAlignment="1" applyProtection="1">
      <alignment horizontal="centerContinuous"/>
    </xf>
    <xf numFmtId="0" fontId="17" fillId="12" borderId="2" xfId="6" applyFont="1" applyFill="1" applyBorder="1" applyAlignment="1" applyProtection="1">
      <alignment horizontal="centerContinuous"/>
    </xf>
    <xf numFmtId="0" fontId="4" fillId="12" borderId="2" xfId="6" applyFont="1" applyFill="1" applyBorder="1" applyAlignment="1" applyProtection="1">
      <alignment horizontal="centerContinuous"/>
    </xf>
    <xf numFmtId="0" fontId="4" fillId="12" borderId="6" xfId="6" applyFont="1" applyFill="1" applyBorder="1" applyAlignment="1" applyProtection="1">
      <alignment horizontal="centerContinuous"/>
    </xf>
    <xf numFmtId="0" fontId="4" fillId="12" borderId="3" xfId="6" applyFont="1" applyFill="1" applyBorder="1" applyProtection="1"/>
    <xf numFmtId="0" fontId="4" fillId="12" borderId="0" xfId="6" applyFont="1" applyFill="1" applyProtection="1"/>
    <xf numFmtId="0" fontId="4" fillId="12" borderId="7" xfId="6" applyFont="1" applyFill="1" applyBorder="1" applyProtection="1"/>
    <xf numFmtId="0" fontId="18" fillId="12" borderId="3" xfId="8" applyFont="1" applyFill="1" applyBorder="1" applyProtection="1"/>
    <xf numFmtId="0" fontId="4" fillId="4" borderId="49" xfId="6" applyFont="1" applyFill="1" applyBorder="1" applyAlignment="1" applyProtection="1">
      <alignment vertical="top"/>
    </xf>
    <xf numFmtId="0" fontId="8" fillId="10" borderId="38" xfId="6" applyFont="1" applyFill="1" applyBorder="1" applyAlignment="1" applyProtection="1">
      <alignment horizontal="center" vertical="top"/>
    </xf>
    <xf numFmtId="0" fontId="8" fillId="10" borderId="39" xfId="6" applyFont="1" applyFill="1" applyBorder="1" applyAlignment="1" applyProtection="1">
      <alignment horizontal="center" vertical="top"/>
    </xf>
    <xf numFmtId="0" fontId="8" fillId="10" borderId="40" xfId="6" applyFont="1" applyFill="1" applyBorder="1" applyAlignment="1" applyProtection="1">
      <alignment horizontal="center" vertical="top"/>
    </xf>
    <xf numFmtId="0" fontId="8" fillId="12" borderId="0" xfId="6" applyFont="1" applyFill="1" applyAlignment="1" applyProtection="1">
      <alignment horizontal="center" vertical="top"/>
    </xf>
    <xf numFmtId="0" fontId="8" fillId="12" borderId="0" xfId="6" applyFont="1" applyFill="1" applyAlignment="1" applyProtection="1">
      <alignment vertical="top"/>
    </xf>
    <xf numFmtId="0" fontId="4" fillId="12" borderId="0" xfId="6" applyFont="1" applyFill="1" applyAlignment="1" applyProtection="1">
      <alignment vertical="top"/>
    </xf>
    <xf numFmtId="0" fontId="4" fillId="12" borderId="7" xfId="6" applyFont="1" applyFill="1" applyBorder="1" applyAlignment="1" applyProtection="1">
      <alignment vertical="top"/>
    </xf>
    <xf numFmtId="0" fontId="4" fillId="4" borderId="50" xfId="6" applyFont="1" applyFill="1" applyBorder="1" applyProtection="1"/>
    <xf numFmtId="0" fontId="8" fillId="10" borderId="41" xfId="6" applyFont="1" applyFill="1" applyBorder="1" applyAlignment="1" applyProtection="1">
      <alignment horizontal="center"/>
    </xf>
    <xf numFmtId="0" fontId="8" fillId="10" borderId="43" xfId="6" applyFont="1" applyFill="1" applyBorder="1" applyAlignment="1" applyProtection="1">
      <alignment horizontal="center"/>
    </xf>
    <xf numFmtId="0" fontId="8" fillId="10" borderId="42" xfId="6" applyFont="1" applyFill="1" applyBorder="1" applyAlignment="1" applyProtection="1">
      <alignment horizontal="center"/>
    </xf>
    <xf numFmtId="0" fontId="10" fillId="10" borderId="29" xfId="6" applyFont="1" applyFill="1" applyBorder="1" applyAlignment="1" applyProtection="1">
      <alignment horizontal="centerContinuous"/>
    </xf>
    <xf numFmtId="0" fontId="8" fillId="10" borderId="4" xfId="6" applyFont="1" applyFill="1" applyBorder="1" applyAlignment="1" applyProtection="1">
      <alignment horizontal="centerContinuous"/>
    </xf>
    <xf numFmtId="0" fontId="8" fillId="10" borderId="25" xfId="6" applyFont="1" applyFill="1" applyBorder="1" applyAlignment="1" applyProtection="1">
      <alignment horizontal="centerContinuous"/>
    </xf>
    <xf numFmtId="0" fontId="8" fillId="10" borderId="14" xfId="6" applyFont="1" applyFill="1" applyBorder="1" applyAlignment="1" applyProtection="1">
      <alignment horizontal="centerContinuous"/>
    </xf>
    <xf numFmtId="0" fontId="4" fillId="2" borderId="0" xfId="6" applyFont="1" applyFill="1" applyProtection="1"/>
    <xf numFmtId="0" fontId="8" fillId="10" borderId="44" xfId="6" applyFont="1" applyFill="1" applyBorder="1" applyAlignment="1" applyProtection="1">
      <alignment horizontal="center"/>
    </xf>
    <xf numFmtId="0" fontId="8" fillId="10" borderId="47" xfId="6" applyFont="1" applyFill="1" applyBorder="1" applyAlignment="1" applyProtection="1">
      <alignment horizontal="center"/>
    </xf>
    <xf numFmtId="0" fontId="8" fillId="10" borderId="30" xfId="6" applyFont="1" applyFill="1" applyBorder="1" applyAlignment="1" applyProtection="1">
      <alignment horizontal="center"/>
    </xf>
    <xf numFmtId="0" fontId="8" fillId="10" borderId="19" xfId="6" applyFont="1" applyFill="1" applyBorder="1" applyAlignment="1" applyProtection="1">
      <alignment horizontal="center"/>
    </xf>
    <xf numFmtId="0" fontId="8" fillId="10" borderId="22" xfId="6" applyFont="1" applyFill="1" applyBorder="1" applyAlignment="1" applyProtection="1">
      <alignment horizontal="center"/>
    </xf>
    <xf numFmtId="0" fontId="4" fillId="12" borderId="7" xfId="6" applyFont="1" applyFill="1" applyBorder="1" applyAlignment="1" applyProtection="1">
      <alignment horizontal="center"/>
    </xf>
    <xf numFmtId="0" fontId="4" fillId="2" borderId="0" xfId="6" applyFont="1" applyFill="1" applyAlignment="1" applyProtection="1">
      <alignment horizontal="center"/>
    </xf>
    <xf numFmtId="165" fontId="8" fillId="10" borderId="45" xfId="6" applyNumberFormat="1" applyFont="1" applyFill="1" applyBorder="1" applyAlignment="1" applyProtection="1">
      <alignment horizontal="center"/>
    </xf>
    <xf numFmtId="165" fontId="8" fillId="12" borderId="0" xfId="6" applyNumberFormat="1" applyFont="1" applyFill="1" applyAlignment="1" applyProtection="1">
      <alignment horizontal="center"/>
    </xf>
    <xf numFmtId="0" fontId="8" fillId="10" borderId="32" xfId="6" applyFont="1" applyFill="1" applyBorder="1" applyAlignment="1" applyProtection="1">
      <alignment horizontal="center"/>
    </xf>
    <xf numFmtId="0" fontId="8" fillId="10" borderId="15" xfId="6" applyFont="1" applyFill="1" applyBorder="1" applyAlignment="1" applyProtection="1">
      <alignment horizontal="center"/>
    </xf>
    <xf numFmtId="0" fontId="8" fillId="10" borderId="17" xfId="6" applyFont="1" applyFill="1" applyBorder="1" applyAlignment="1" applyProtection="1">
      <alignment horizontal="center"/>
    </xf>
    <xf numFmtId="0" fontId="8" fillId="12" borderId="0" xfId="6" applyFont="1" applyFill="1" applyAlignment="1" applyProtection="1">
      <alignment horizontal="centerContinuous" wrapText="1"/>
    </xf>
    <xf numFmtId="0" fontId="8" fillId="12" borderId="0" xfId="6" applyFont="1" applyFill="1" applyAlignment="1" applyProtection="1">
      <alignment vertical="center"/>
    </xf>
    <xf numFmtId="165" fontId="10" fillId="10" borderId="48" xfId="6" applyNumberFormat="1" applyFont="1" applyFill="1" applyBorder="1" applyAlignment="1" applyProtection="1">
      <alignment horizontal="center" vertical="center"/>
    </xf>
    <xf numFmtId="0" fontId="6" fillId="12" borderId="0" xfId="6" applyFont="1" applyFill="1" applyAlignment="1" applyProtection="1">
      <alignment horizontal="left"/>
    </xf>
    <xf numFmtId="0" fontId="19" fillId="12" borderId="0" xfId="6" applyFont="1" applyFill="1" applyAlignment="1" applyProtection="1">
      <alignment horizontal="right"/>
    </xf>
    <xf numFmtId="0" fontId="8" fillId="12" borderId="0" xfId="6" applyFont="1" applyFill="1" applyAlignment="1" applyProtection="1">
      <alignment horizontal="right"/>
    </xf>
    <xf numFmtId="1" fontId="20" fillId="10" borderId="41" xfId="6" applyNumberFormat="1" applyFont="1" applyFill="1" applyBorder="1" applyAlignment="1" applyProtection="1">
      <alignment horizontal="center"/>
    </xf>
    <xf numFmtId="1" fontId="20" fillId="10" borderId="11" xfId="6" applyNumberFormat="1" applyFont="1" applyFill="1" applyBorder="1" applyAlignment="1" applyProtection="1">
      <alignment horizontal="center"/>
    </xf>
    <xf numFmtId="1" fontId="20" fillId="10" borderId="42" xfId="6" applyNumberFormat="1" applyFont="1" applyFill="1" applyBorder="1" applyAlignment="1" applyProtection="1">
      <alignment horizontal="center"/>
    </xf>
    <xf numFmtId="1" fontId="20" fillId="10" borderId="43" xfId="6" applyNumberFormat="1" applyFont="1" applyFill="1" applyBorder="1" applyAlignment="1" applyProtection="1">
      <alignment horizontal="center"/>
    </xf>
    <xf numFmtId="167" fontId="8" fillId="12" borderId="0" xfId="6" applyNumberFormat="1" applyFont="1" applyFill="1" applyAlignment="1" applyProtection="1">
      <alignment horizontal="center"/>
    </xf>
    <xf numFmtId="170" fontId="8" fillId="12" borderId="0" xfId="6" applyNumberFormat="1" applyFont="1" applyFill="1" applyAlignment="1" applyProtection="1">
      <alignment horizontal="center"/>
    </xf>
    <xf numFmtId="0" fontId="11" fillId="12" borderId="0" xfId="7" applyFont="1" applyFill="1" applyProtection="1"/>
    <xf numFmtId="0" fontId="8" fillId="10" borderId="62" xfId="6" applyFont="1" applyFill="1" applyBorder="1" applyAlignment="1" applyProtection="1">
      <alignment horizontal="center"/>
    </xf>
    <xf numFmtId="0" fontId="8" fillId="10" borderId="40" xfId="6" applyFont="1" applyFill="1" applyBorder="1" applyAlignment="1" applyProtection="1">
      <alignment horizontal="center"/>
    </xf>
    <xf numFmtId="0" fontId="4" fillId="12" borderId="7" xfId="6" applyFont="1" applyFill="1" applyBorder="1" applyAlignment="1" applyProtection="1">
      <alignment horizontal="left"/>
    </xf>
    <xf numFmtId="0" fontId="8" fillId="12" borderId="0" xfId="6" applyFont="1" applyFill="1" applyAlignment="1" applyProtection="1">
      <alignment horizontal="left"/>
    </xf>
    <xf numFmtId="0" fontId="4" fillId="12" borderId="0" xfId="6" applyFont="1" applyFill="1" applyAlignment="1" applyProtection="1">
      <alignment horizontal="center"/>
    </xf>
    <xf numFmtId="1" fontId="10" fillId="10" borderId="34" xfId="1" applyNumberFormat="1" applyFont="1" applyFill="1" applyBorder="1" applyAlignment="1" applyProtection="1">
      <alignment horizontal="center" vertical="center"/>
    </xf>
    <xf numFmtId="1" fontId="10" fillId="10" borderId="20" xfId="1" applyNumberFormat="1" applyFont="1" applyFill="1" applyBorder="1" applyAlignment="1" applyProtection="1">
      <alignment horizontal="center" vertical="center"/>
    </xf>
    <xf numFmtId="1" fontId="10" fillId="10" borderId="20" xfId="1" quotePrefix="1" applyNumberFormat="1" applyFont="1" applyFill="1" applyBorder="1" applyAlignment="1" applyProtection="1">
      <alignment horizontal="center" vertical="center"/>
    </xf>
    <xf numFmtId="1" fontId="10" fillId="10" borderId="20" xfId="1" applyNumberFormat="1" applyFont="1" applyFill="1" applyBorder="1" applyAlignment="1" applyProtection="1">
      <alignment horizontal="center" vertical="center" wrapText="1"/>
    </xf>
    <xf numFmtId="1" fontId="10" fillId="10" borderId="25" xfId="1" applyNumberFormat="1" applyFont="1" applyFill="1" applyBorder="1" applyAlignment="1" applyProtection="1">
      <alignment horizontal="center" vertical="center" wrapText="1"/>
    </xf>
    <xf numFmtId="0" fontId="8" fillId="10" borderId="23" xfId="6" applyFont="1" applyFill="1" applyBorder="1" applyAlignment="1" applyProtection="1">
      <alignment horizontal="center" vertical="center"/>
    </xf>
    <xf numFmtId="169" fontId="4" fillId="12" borderId="7" xfId="6" applyNumberFormat="1" applyFont="1" applyFill="1" applyBorder="1" applyAlignment="1" applyProtection="1">
      <alignment horizontal="center"/>
    </xf>
    <xf numFmtId="0" fontId="8" fillId="12" borderId="4" xfId="6" applyFont="1" applyFill="1" applyBorder="1" applyProtection="1"/>
    <xf numFmtId="0" fontId="8" fillId="12" borderId="26" xfId="6" applyFont="1" applyFill="1" applyBorder="1" applyProtection="1"/>
    <xf numFmtId="0" fontId="4" fillId="12" borderId="33" xfId="6" applyFont="1" applyFill="1" applyBorder="1" applyAlignment="1" applyProtection="1">
      <alignment horizontal="left"/>
    </xf>
    <xf numFmtId="0" fontId="8" fillId="10" borderId="29" xfId="6" applyFont="1" applyFill="1" applyBorder="1" applyProtection="1"/>
    <xf numFmtId="0" fontId="8" fillId="10" borderId="29" xfId="6" applyFont="1" applyFill="1" applyBorder="1" applyAlignment="1" applyProtection="1">
      <alignment horizontal="center"/>
    </xf>
    <xf numFmtId="0" fontId="8" fillId="10" borderId="4" xfId="6" applyFont="1" applyFill="1" applyBorder="1" applyAlignment="1" applyProtection="1">
      <alignment horizontal="center"/>
    </xf>
    <xf numFmtId="0" fontId="10" fillId="10" borderId="4" xfId="6" applyFont="1" applyFill="1" applyBorder="1" applyAlignment="1" applyProtection="1">
      <alignment horizontal="center"/>
    </xf>
    <xf numFmtId="0" fontId="8" fillId="10" borderId="14" xfId="6" applyFont="1" applyFill="1" applyBorder="1" applyAlignment="1" applyProtection="1">
      <alignment horizontal="center"/>
    </xf>
    <xf numFmtId="0" fontId="8" fillId="10" borderId="30" xfId="6" applyFont="1" applyFill="1" applyBorder="1" applyAlignment="1" applyProtection="1">
      <alignment horizontal="center" wrapText="1"/>
    </xf>
    <xf numFmtId="0" fontId="8" fillId="10" borderId="19" xfId="6" applyFont="1" applyFill="1" applyBorder="1" applyAlignment="1" applyProtection="1">
      <alignment horizontal="center" wrapText="1"/>
    </xf>
    <xf numFmtId="0" fontId="8" fillId="10" borderId="72" xfId="6" applyFont="1" applyFill="1" applyBorder="1" applyAlignment="1" applyProtection="1">
      <alignment horizontal="center" wrapText="1"/>
    </xf>
    <xf numFmtId="0" fontId="8" fillId="10" borderId="70" xfId="6" applyFont="1" applyFill="1" applyBorder="1" applyAlignment="1" applyProtection="1">
      <alignment horizontal="center" wrapText="1"/>
    </xf>
    <xf numFmtId="0" fontId="8" fillId="10" borderId="62" xfId="6" applyFont="1" applyFill="1" applyBorder="1" applyAlignment="1" applyProtection="1">
      <alignment horizontal="center" wrapText="1"/>
    </xf>
    <xf numFmtId="0" fontId="8" fillId="10" borderId="40" xfId="6" applyFont="1" applyFill="1" applyBorder="1" applyAlignment="1" applyProtection="1">
      <alignment horizontal="center" wrapText="1"/>
    </xf>
    <xf numFmtId="0" fontId="4" fillId="12" borderId="7" xfId="6" applyFont="1" applyFill="1" applyBorder="1" applyAlignment="1" applyProtection="1">
      <alignment horizontal="center" wrapText="1"/>
    </xf>
    <xf numFmtId="0" fontId="4" fillId="2" borderId="0" xfId="6" applyFont="1" applyFill="1" applyAlignment="1" applyProtection="1">
      <alignment horizontal="left"/>
    </xf>
    <xf numFmtId="0" fontId="8" fillId="10" borderId="49" xfId="6" applyFont="1" applyFill="1" applyBorder="1" applyProtection="1"/>
    <xf numFmtId="0" fontId="8" fillId="10" borderId="65" xfId="6" applyFont="1" applyFill="1" applyBorder="1" applyAlignment="1" applyProtection="1">
      <alignment horizontal="center"/>
    </xf>
    <xf numFmtId="0" fontId="8" fillId="10" borderId="57" xfId="6" applyFont="1" applyFill="1" applyBorder="1" applyAlignment="1" applyProtection="1">
      <alignment horizontal="center"/>
    </xf>
    <xf numFmtId="0" fontId="8" fillId="10" borderId="58" xfId="6" applyFont="1" applyFill="1" applyBorder="1" applyAlignment="1" applyProtection="1">
      <alignment horizontal="center"/>
    </xf>
    <xf numFmtId="0" fontId="8" fillId="10" borderId="96" xfId="6" applyFont="1" applyFill="1" applyBorder="1" applyAlignment="1" applyProtection="1">
      <alignment horizontal="center"/>
    </xf>
    <xf numFmtId="0" fontId="8" fillId="10" borderId="95" xfId="6" applyFont="1" applyFill="1" applyBorder="1" applyAlignment="1" applyProtection="1">
      <alignment horizontal="center"/>
    </xf>
    <xf numFmtId="0" fontId="8" fillId="10" borderId="71" xfId="6" applyFont="1" applyFill="1" applyBorder="1" applyAlignment="1" applyProtection="1">
      <alignment horizontal="center"/>
    </xf>
    <xf numFmtId="0" fontId="8" fillId="10" borderId="64" xfId="6" applyFont="1" applyFill="1" applyBorder="1" applyAlignment="1" applyProtection="1">
      <alignment horizontal="center"/>
    </xf>
    <xf numFmtId="0" fontId="8" fillId="10" borderId="74" xfId="6" applyFont="1" applyFill="1" applyBorder="1" applyAlignment="1" applyProtection="1">
      <alignment horizontal="center"/>
    </xf>
    <xf numFmtId="170" fontId="6" fillId="4" borderId="31" xfId="6" applyNumberFormat="1" applyFont="1" applyFill="1" applyBorder="1" applyProtection="1"/>
    <xf numFmtId="170" fontId="8" fillId="13" borderId="31" xfId="6" applyNumberFormat="1" applyFont="1" applyFill="1" applyBorder="1" applyAlignment="1" applyProtection="1">
      <alignment horizontal="left"/>
    </xf>
    <xf numFmtId="165" fontId="8" fillId="13" borderId="72" xfId="6" applyNumberFormat="1" applyFont="1" applyFill="1" applyBorder="1" applyAlignment="1" applyProtection="1">
      <alignment horizontal="center"/>
    </xf>
    <xf numFmtId="165" fontId="8" fillId="13" borderId="30" xfId="6" applyNumberFormat="1" applyFont="1" applyFill="1" applyBorder="1" applyAlignment="1" applyProtection="1">
      <alignment horizontal="center"/>
    </xf>
    <xf numFmtId="165" fontId="8" fillId="13" borderId="19" xfId="6" applyNumberFormat="1" applyFont="1" applyFill="1" applyBorder="1" applyAlignment="1" applyProtection="1">
      <alignment horizontal="center"/>
    </xf>
    <xf numFmtId="165" fontId="8" fillId="13" borderId="31" xfId="6" applyNumberFormat="1" applyFont="1" applyFill="1" applyBorder="1" applyAlignment="1" applyProtection="1">
      <alignment horizontal="center"/>
    </xf>
    <xf numFmtId="2" fontId="10" fillId="13" borderId="72" xfId="6" applyNumberFormat="1" applyFont="1" applyFill="1" applyBorder="1" applyAlignment="1" applyProtection="1">
      <alignment horizontal="center"/>
    </xf>
    <xf numFmtId="165" fontId="8" fillId="13" borderId="62" xfId="6" applyNumberFormat="1" applyFont="1" applyFill="1" applyBorder="1" applyAlignment="1" applyProtection="1">
      <alignment horizontal="center"/>
    </xf>
    <xf numFmtId="165" fontId="8" fillId="13" borderId="91" xfId="6" applyNumberFormat="1" applyFont="1" applyFill="1" applyBorder="1" applyAlignment="1" applyProtection="1">
      <alignment horizontal="center"/>
    </xf>
    <xf numFmtId="170" fontId="8" fillId="13" borderId="21" xfId="6" applyNumberFormat="1" applyFont="1" applyFill="1" applyBorder="1" applyAlignment="1" applyProtection="1">
      <alignment horizontal="left"/>
    </xf>
    <xf numFmtId="165" fontId="8" fillId="13" borderId="70" xfId="6" applyNumberFormat="1" applyFont="1" applyFill="1" applyBorder="1" applyAlignment="1" applyProtection="1">
      <alignment horizontal="center"/>
    </xf>
    <xf numFmtId="165" fontId="8" fillId="13" borderId="18" xfId="6" applyNumberFormat="1" applyFont="1" applyFill="1" applyBorder="1" applyAlignment="1" applyProtection="1">
      <alignment horizontal="center"/>
    </xf>
    <xf numFmtId="165" fontId="8" fillId="13" borderId="90" xfId="6" applyNumberFormat="1" applyFont="1" applyFill="1" applyBorder="1" applyAlignment="1" applyProtection="1">
      <alignment horizontal="center"/>
    </xf>
    <xf numFmtId="2" fontId="10" fillId="13" borderId="70" xfId="6" applyNumberFormat="1" applyFont="1" applyFill="1" applyBorder="1" applyAlignment="1" applyProtection="1">
      <alignment horizontal="center"/>
    </xf>
    <xf numFmtId="165" fontId="8" fillId="13" borderId="63" xfId="6" applyNumberFormat="1" applyFont="1" applyFill="1" applyBorder="1" applyAlignment="1" applyProtection="1">
      <alignment horizontal="center"/>
    </xf>
    <xf numFmtId="170" fontId="8" fillId="13" borderId="16" xfId="6" applyNumberFormat="1" applyFont="1" applyFill="1" applyBorder="1" applyAlignment="1" applyProtection="1">
      <alignment horizontal="left"/>
    </xf>
    <xf numFmtId="165" fontId="8" fillId="13" borderId="71" xfId="6" applyNumberFormat="1" applyFont="1" applyFill="1" applyBorder="1" applyAlignment="1" applyProtection="1">
      <alignment horizontal="center"/>
    </xf>
    <xf numFmtId="2" fontId="10" fillId="13" borderId="71" xfId="6" applyNumberFormat="1" applyFont="1" applyFill="1" applyBorder="1" applyAlignment="1" applyProtection="1">
      <alignment horizontal="center"/>
    </xf>
    <xf numFmtId="165" fontId="8" fillId="13" borderId="15" xfId="6" applyNumberFormat="1" applyFont="1" applyFill="1" applyBorder="1" applyAlignment="1" applyProtection="1">
      <alignment horizontal="center"/>
    </xf>
    <xf numFmtId="165" fontId="8" fillId="13" borderId="17" xfId="6" applyNumberFormat="1" applyFont="1" applyFill="1" applyBorder="1" applyAlignment="1" applyProtection="1">
      <alignment horizontal="center"/>
    </xf>
    <xf numFmtId="165" fontId="10" fillId="13" borderId="48" xfId="6" applyNumberFormat="1" applyFont="1" applyFill="1" applyBorder="1" applyAlignment="1" applyProtection="1">
      <alignment horizontal="center"/>
    </xf>
    <xf numFmtId="165" fontId="8" fillId="13" borderId="34" xfId="6" applyNumberFormat="1" applyFont="1" applyFill="1" applyBorder="1" applyAlignment="1" applyProtection="1">
      <alignment horizontal="center"/>
    </xf>
    <xf numFmtId="165" fontId="8" fillId="13" borderId="20" xfId="6" applyNumberFormat="1" applyFont="1" applyFill="1" applyBorder="1" applyAlignment="1" applyProtection="1">
      <alignment horizontal="center"/>
    </xf>
    <xf numFmtId="165" fontId="8" fillId="13" borderId="23" xfId="6" applyNumberFormat="1" applyFont="1" applyFill="1" applyBorder="1" applyAlignment="1" applyProtection="1">
      <alignment horizontal="center"/>
    </xf>
    <xf numFmtId="1" fontId="4" fillId="12" borderId="7" xfId="6" applyNumberFormat="1" applyFont="1" applyFill="1" applyBorder="1" applyAlignment="1" applyProtection="1">
      <alignment horizontal="center"/>
    </xf>
    <xf numFmtId="165" fontId="12" fillId="13" borderId="32" xfId="6" applyNumberFormat="1" applyFont="1" applyFill="1" applyBorder="1" applyAlignment="1" applyProtection="1">
      <alignment horizontal="center"/>
    </xf>
    <xf numFmtId="165" fontId="12" fillId="13" borderId="15" xfId="6" applyNumberFormat="1" applyFont="1" applyFill="1" applyBorder="1" applyAlignment="1" applyProtection="1">
      <alignment horizontal="center"/>
    </xf>
    <xf numFmtId="165" fontId="12" fillId="13" borderId="17" xfId="6" applyNumberFormat="1" applyFont="1" applyFill="1" applyBorder="1" applyAlignment="1" applyProtection="1">
      <alignment horizontal="center"/>
    </xf>
    <xf numFmtId="0" fontId="8" fillId="4" borderId="36" xfId="6" applyFont="1" applyFill="1" applyBorder="1" applyProtection="1"/>
    <xf numFmtId="1" fontId="8" fillId="12" borderId="0" xfId="6" applyNumberFormat="1" applyFont="1" applyFill="1" applyAlignment="1" applyProtection="1">
      <alignment horizontal="center"/>
    </xf>
    <xf numFmtId="2" fontId="8" fillId="12" borderId="0" xfId="6" applyNumberFormat="1" applyFont="1" applyFill="1" applyAlignment="1" applyProtection="1">
      <alignment horizontal="center"/>
    </xf>
    <xf numFmtId="0" fontId="10" fillId="12" borderId="0" xfId="6" applyFont="1" applyFill="1" applyAlignment="1" applyProtection="1">
      <alignment horizontal="right"/>
    </xf>
    <xf numFmtId="170" fontId="4" fillId="12" borderId="7" xfId="6" applyNumberFormat="1" applyFont="1" applyFill="1" applyBorder="1" applyAlignment="1" applyProtection="1">
      <alignment horizontal="center" vertical="top"/>
    </xf>
    <xf numFmtId="0" fontId="8" fillId="4" borderId="61" xfId="6" applyFont="1" applyFill="1" applyBorder="1" applyProtection="1"/>
    <xf numFmtId="1" fontId="8" fillId="12" borderId="0" xfId="6" applyNumberFormat="1" applyFont="1" applyFill="1" applyProtection="1"/>
    <xf numFmtId="170" fontId="8" fillId="13" borderId="68" xfId="6" applyNumberFormat="1" applyFont="1" applyFill="1" applyBorder="1" applyAlignment="1" applyProtection="1">
      <alignment horizontal="left"/>
    </xf>
    <xf numFmtId="165" fontId="8" fillId="13" borderId="22" xfId="6" applyNumberFormat="1" applyFont="1" applyFill="1" applyBorder="1" applyAlignment="1" applyProtection="1">
      <alignment horizontal="center"/>
    </xf>
    <xf numFmtId="2" fontId="10" fillId="13" borderId="68" xfId="6" applyNumberFormat="1" applyFont="1" applyFill="1" applyBorder="1" applyAlignment="1" applyProtection="1">
      <alignment horizontal="center"/>
    </xf>
    <xf numFmtId="170" fontId="8" fillId="13" borderId="69" xfId="6" applyNumberFormat="1" applyFont="1" applyFill="1" applyBorder="1" applyAlignment="1" applyProtection="1">
      <alignment horizontal="left"/>
    </xf>
    <xf numFmtId="165" fontId="8" fillId="13" borderId="93" xfId="6" applyNumberFormat="1" applyFont="1" applyFill="1" applyBorder="1" applyAlignment="1" applyProtection="1">
      <alignment horizontal="center"/>
    </xf>
    <xf numFmtId="2" fontId="10" fillId="13" borderId="69" xfId="6" applyNumberFormat="1" applyFont="1" applyFill="1" applyBorder="1" applyAlignment="1" applyProtection="1">
      <alignment horizontal="center"/>
    </xf>
    <xf numFmtId="170" fontId="8" fillId="13" borderId="67" xfId="6" applyNumberFormat="1" applyFont="1" applyFill="1" applyBorder="1" applyAlignment="1" applyProtection="1">
      <alignment horizontal="left"/>
    </xf>
    <xf numFmtId="165" fontId="8" fillId="13" borderId="32" xfId="6" applyNumberFormat="1" applyFont="1" applyFill="1" applyBorder="1" applyAlignment="1" applyProtection="1">
      <alignment horizontal="center"/>
    </xf>
    <xf numFmtId="2" fontId="10" fillId="13" borderId="67" xfId="6" applyNumberFormat="1" applyFont="1" applyFill="1" applyBorder="1" applyAlignment="1" applyProtection="1">
      <alignment horizontal="center"/>
    </xf>
    <xf numFmtId="0" fontId="8" fillId="10" borderId="48" xfId="6" applyFont="1" applyFill="1" applyBorder="1" applyProtection="1"/>
    <xf numFmtId="165" fontId="10" fillId="13" borderId="33" xfId="6" applyNumberFormat="1" applyFont="1" applyFill="1" applyBorder="1" applyAlignment="1" applyProtection="1">
      <alignment horizontal="center"/>
    </xf>
    <xf numFmtId="165" fontId="8" fillId="13" borderId="25" xfId="6" applyNumberFormat="1" applyFont="1" applyFill="1" applyBorder="1" applyAlignment="1" applyProtection="1">
      <alignment horizontal="center"/>
    </xf>
    <xf numFmtId="165" fontId="8" fillId="13" borderId="14" xfId="6" applyNumberFormat="1" applyFont="1" applyFill="1" applyBorder="1" applyAlignment="1" applyProtection="1">
      <alignment horizontal="center"/>
    </xf>
    <xf numFmtId="165" fontId="12" fillId="13" borderId="74" xfId="6" applyNumberFormat="1" applyFont="1" applyFill="1" applyBorder="1" applyAlignment="1" applyProtection="1">
      <alignment horizontal="center"/>
    </xf>
    <xf numFmtId="0" fontId="8" fillId="4" borderId="55" xfId="6" applyFont="1" applyFill="1" applyBorder="1" applyProtection="1"/>
    <xf numFmtId="2" fontId="10" fillId="13" borderId="30" xfId="6" applyNumberFormat="1" applyFont="1" applyFill="1" applyBorder="1" applyAlignment="1" applyProtection="1">
      <alignment horizontal="center"/>
    </xf>
    <xf numFmtId="2" fontId="10" fillId="13" borderId="65" xfId="6" applyNumberFormat="1" applyFont="1" applyFill="1" applyBorder="1" applyAlignment="1" applyProtection="1">
      <alignment horizontal="center"/>
    </xf>
    <xf numFmtId="2" fontId="10" fillId="13" borderId="78" xfId="6" applyNumberFormat="1" applyFont="1" applyFill="1" applyBorder="1" applyAlignment="1" applyProtection="1">
      <alignment horizontal="center"/>
    </xf>
    <xf numFmtId="165" fontId="8" fillId="13" borderId="89" xfId="6" applyNumberFormat="1" applyFont="1" applyFill="1" applyBorder="1" applyAlignment="1" applyProtection="1">
      <alignment horizontal="center"/>
    </xf>
    <xf numFmtId="165" fontId="8" fillId="13" borderId="96" xfId="6" applyNumberFormat="1" applyFont="1" applyFill="1" applyBorder="1" applyAlignment="1" applyProtection="1">
      <alignment horizontal="center"/>
    </xf>
    <xf numFmtId="165" fontId="8" fillId="13" borderId="95" xfId="6" applyNumberFormat="1" applyFont="1" applyFill="1" applyBorder="1" applyAlignment="1" applyProtection="1">
      <alignment horizontal="center"/>
    </xf>
    <xf numFmtId="0" fontId="4" fillId="12" borderId="0" xfId="6" applyFont="1" applyFill="1" applyAlignment="1" applyProtection="1">
      <alignment horizontal="left"/>
    </xf>
    <xf numFmtId="0" fontId="8" fillId="12" borderId="0" xfId="6" applyFont="1" applyFill="1" applyAlignment="1" applyProtection="1">
      <alignment horizontal="right" vertical="top"/>
    </xf>
    <xf numFmtId="0" fontId="8" fillId="12" borderId="0" xfId="6" applyFont="1" applyFill="1" applyAlignment="1" applyProtection="1">
      <alignment horizontal="centerContinuous" vertical="top"/>
    </xf>
    <xf numFmtId="0" fontId="8" fillId="10" borderId="34" xfId="6" applyFont="1" applyFill="1" applyBorder="1" applyAlignment="1" applyProtection="1">
      <alignment horizontal="center" wrapText="1"/>
    </xf>
    <xf numFmtId="0" fontId="8" fillId="10" borderId="48" xfId="6" applyFont="1" applyFill="1" applyBorder="1" applyAlignment="1" applyProtection="1">
      <alignment horizontal="center" wrapText="1"/>
    </xf>
    <xf numFmtId="0" fontId="8" fillId="10" borderId="20" xfId="6" applyFont="1" applyFill="1" applyBorder="1" applyAlignment="1" applyProtection="1">
      <alignment horizontal="center" wrapText="1"/>
    </xf>
    <xf numFmtId="0" fontId="8" fillId="10" borderId="23" xfId="6" applyFont="1" applyFill="1" applyBorder="1" applyAlignment="1" applyProtection="1">
      <alignment horizontal="center" wrapText="1"/>
    </xf>
    <xf numFmtId="165" fontId="13" fillId="13" borderId="34" xfId="6" applyNumberFormat="1" applyFont="1" applyFill="1" applyBorder="1" applyAlignment="1" applyProtection="1">
      <alignment horizontal="center"/>
    </xf>
    <xf numFmtId="165" fontId="13" fillId="13" borderId="48" xfId="6" applyNumberFormat="1" applyFont="1" applyFill="1" applyBorder="1" applyAlignment="1" applyProtection="1">
      <alignment horizontal="center"/>
    </xf>
    <xf numFmtId="1" fontId="13" fillId="13" borderId="30" xfId="6" applyNumberFormat="1" applyFont="1" applyFill="1" applyBorder="1" applyAlignment="1" applyProtection="1">
      <alignment horizontal="center"/>
    </xf>
    <xf numFmtId="1" fontId="13" fillId="13" borderId="19" xfId="6" applyNumberFormat="1" applyFont="1" applyFill="1" applyBorder="1" applyAlignment="1" applyProtection="1">
      <alignment horizontal="center"/>
    </xf>
    <xf numFmtId="1" fontId="13" fillId="13" borderId="40" xfId="6" applyNumberFormat="1" applyFont="1" applyFill="1" applyBorder="1" applyAlignment="1" applyProtection="1">
      <alignment horizontal="center"/>
    </xf>
    <xf numFmtId="0" fontId="10" fillId="12" borderId="0" xfId="6" applyFont="1" applyFill="1" applyProtection="1"/>
    <xf numFmtId="9" fontId="21" fillId="13" borderId="34" xfId="1" applyNumberFormat="1" applyFont="1" applyFill="1" applyBorder="1" applyAlignment="1" applyProtection="1">
      <alignment horizontal="center" vertical="center"/>
    </xf>
    <xf numFmtId="9" fontId="21" fillId="13" borderId="25" xfId="1" applyNumberFormat="1" applyFont="1" applyFill="1" applyBorder="1" applyAlignment="1" applyProtection="1">
      <alignment horizontal="center" vertical="center"/>
    </xf>
    <xf numFmtId="9" fontId="21" fillId="13" borderId="20" xfId="1" applyNumberFormat="1" applyFont="1" applyFill="1" applyBorder="1" applyAlignment="1" applyProtection="1">
      <alignment horizontal="center" vertical="center"/>
    </xf>
    <xf numFmtId="9" fontId="21" fillId="13" borderId="14" xfId="1" applyNumberFormat="1" applyFont="1" applyFill="1" applyBorder="1" applyAlignment="1" applyProtection="1">
      <alignment horizontal="center" vertical="center"/>
    </xf>
    <xf numFmtId="168" fontId="4" fillId="12" borderId="7" xfId="6" applyNumberFormat="1" applyFont="1" applyFill="1" applyBorder="1" applyAlignment="1" applyProtection="1">
      <alignment horizontal="center" vertical="top"/>
    </xf>
    <xf numFmtId="170" fontId="8" fillId="17" borderId="0" xfId="6" applyNumberFormat="1" applyFont="1" applyFill="1" applyAlignment="1" applyProtection="1">
      <alignment horizontal="left"/>
      <protection locked="0"/>
    </xf>
    <xf numFmtId="0" fontId="14" fillId="17" borderId="0" xfId="6" applyFont="1" applyFill="1" applyAlignment="1" applyProtection="1">
      <alignment horizontal="centerContinuous"/>
      <protection locked="0"/>
    </xf>
    <xf numFmtId="170" fontId="8" fillId="0" borderId="39" xfId="6" applyNumberFormat="1" applyFont="1" applyBorder="1" applyAlignment="1" applyProtection="1">
      <alignment horizontal="left" vertical="center"/>
      <protection locked="0"/>
    </xf>
    <xf numFmtId="167" fontId="8" fillId="0" borderId="39" xfId="6" applyNumberFormat="1" applyFont="1" applyBorder="1" applyAlignment="1" applyProtection="1">
      <alignment horizontal="left" vertical="center"/>
      <protection locked="0"/>
    </xf>
    <xf numFmtId="170" fontId="8" fillId="0" borderId="88" xfId="6" applyNumberFormat="1" applyFont="1" applyBorder="1" applyAlignment="1" applyProtection="1">
      <alignment horizontal="left" vertical="center"/>
      <protection locked="0"/>
    </xf>
    <xf numFmtId="167" fontId="8" fillId="0" borderId="97" xfId="6" applyNumberFormat="1" applyFont="1" applyBorder="1" applyAlignment="1" applyProtection="1">
      <alignment horizontal="left" vertical="center"/>
      <protection locked="0"/>
    </xf>
    <xf numFmtId="170" fontId="8" fillId="0" borderId="77" xfId="6" applyNumberFormat="1" applyFont="1" applyBorder="1" applyAlignment="1" applyProtection="1">
      <alignment horizontal="left" vertical="center"/>
      <protection locked="0"/>
    </xf>
    <xf numFmtId="167" fontId="8" fillId="0" borderId="77" xfId="6" applyNumberFormat="1" applyFont="1" applyBorder="1" applyAlignment="1" applyProtection="1">
      <alignment horizontal="left" vertical="center"/>
      <protection locked="0"/>
    </xf>
    <xf numFmtId="170" fontId="8" fillId="0" borderId="22" xfId="6" applyNumberFormat="1" applyFont="1" applyBorder="1" applyAlignment="1" applyProtection="1">
      <alignment horizontal="center" vertical="center"/>
      <protection locked="0"/>
    </xf>
    <xf numFmtId="170" fontId="8" fillId="0" borderId="91" xfId="6" applyNumberFormat="1" applyFont="1" applyBorder="1" applyAlignment="1" applyProtection="1">
      <alignment horizontal="center" vertical="center"/>
      <protection locked="0"/>
    </xf>
    <xf numFmtId="170" fontId="8" fillId="3" borderId="39" xfId="6" applyNumberFormat="1" applyFont="1" applyFill="1" applyBorder="1" applyAlignment="1" applyProtection="1">
      <alignment vertical="center"/>
      <protection locked="0"/>
    </xf>
    <xf numFmtId="170" fontId="8" fillId="3" borderId="88" xfId="6" applyNumberFormat="1" applyFont="1" applyFill="1" applyBorder="1" applyAlignment="1" applyProtection="1">
      <alignment vertical="center"/>
      <protection locked="0"/>
    </xf>
    <xf numFmtId="170" fontId="8" fillId="3" borderId="77" xfId="6" applyNumberFormat="1" applyFont="1" applyFill="1" applyBorder="1" applyAlignment="1" applyProtection="1">
      <alignment vertical="center"/>
      <protection locked="0"/>
    </xf>
    <xf numFmtId="0" fontId="8" fillId="17" borderId="3" xfId="6" applyFont="1" applyFill="1" applyBorder="1" applyProtection="1">
      <protection locked="0"/>
    </xf>
    <xf numFmtId="0" fontId="8" fillId="12" borderId="0" xfId="6" applyFont="1" applyFill="1" applyProtection="1">
      <protection locked="0"/>
    </xf>
    <xf numFmtId="0" fontId="8" fillId="2" borderId="0" xfId="6" applyFont="1" applyFill="1" applyAlignment="1" applyProtection="1">
      <alignment horizontal="center"/>
      <protection locked="0"/>
    </xf>
    <xf numFmtId="0" fontId="8" fillId="12" borderId="0" xfId="6" applyFont="1" applyFill="1" applyAlignment="1" applyProtection="1">
      <alignment horizontal="center"/>
      <protection locked="0"/>
    </xf>
    <xf numFmtId="0" fontId="8" fillId="12" borderId="0" xfId="6" applyFont="1" applyFill="1" applyAlignment="1" applyProtection="1">
      <alignment horizontal="center" vertical="center"/>
      <protection locked="0"/>
    </xf>
    <xf numFmtId="0" fontId="8" fillId="17" borderId="3" xfId="6" applyFont="1" applyFill="1" applyBorder="1" applyAlignment="1" applyProtection="1">
      <alignment horizontal="center" wrapText="1"/>
      <protection locked="0"/>
    </xf>
    <xf numFmtId="0" fontId="8" fillId="17" borderId="3" xfId="6" applyFont="1" applyFill="1" applyBorder="1" applyAlignment="1" applyProtection="1">
      <alignment horizontal="center"/>
      <protection locked="0"/>
    </xf>
    <xf numFmtId="1" fontId="8" fillId="17" borderId="3" xfId="6" applyNumberFormat="1" applyFont="1" applyFill="1" applyBorder="1" applyAlignment="1" applyProtection="1">
      <alignment horizontal="center"/>
      <protection locked="0"/>
    </xf>
    <xf numFmtId="0" fontId="8" fillId="17" borderId="0" xfId="6" applyFont="1" applyFill="1" applyAlignment="1" applyProtection="1">
      <alignment vertical="center"/>
      <protection locked="0"/>
    </xf>
    <xf numFmtId="167" fontId="8" fillId="17" borderId="0" xfId="6" applyNumberFormat="1" applyFont="1" applyFill="1" applyAlignment="1" applyProtection="1">
      <alignment vertical="center"/>
      <protection locked="0"/>
    </xf>
    <xf numFmtId="167" fontId="8" fillId="17" borderId="0" xfId="6" applyNumberFormat="1" applyFont="1" applyFill="1" applyAlignment="1" applyProtection="1">
      <alignment horizontal="center" vertical="center"/>
      <protection locked="0"/>
    </xf>
    <xf numFmtId="0" fontId="8" fillId="17" borderId="0" xfId="6" applyFont="1" applyFill="1" applyAlignment="1" applyProtection="1">
      <alignment horizontal="center" vertical="center"/>
      <protection locked="0"/>
    </xf>
    <xf numFmtId="170" fontId="8" fillId="17" borderId="3" xfId="6" applyNumberFormat="1" applyFont="1" applyFill="1" applyBorder="1" applyAlignment="1" applyProtection="1">
      <alignment horizontal="center" vertical="top"/>
      <protection locked="0"/>
    </xf>
    <xf numFmtId="0" fontId="15" fillId="17" borderId="0" xfId="8" applyFont="1" applyFill="1" applyAlignment="1" applyProtection="1">
      <alignment vertical="center"/>
      <protection locked="0"/>
    </xf>
    <xf numFmtId="0" fontId="8" fillId="0" borderId="0" xfId="6" applyFont="1" applyAlignment="1" applyProtection="1">
      <alignment vertical="center"/>
      <protection locked="0"/>
    </xf>
    <xf numFmtId="1" fontId="8" fillId="17" borderId="0" xfId="6" applyNumberFormat="1" applyFont="1" applyFill="1" applyAlignment="1" applyProtection="1">
      <alignment horizontal="center" vertical="center"/>
      <protection locked="0"/>
    </xf>
    <xf numFmtId="1" fontId="8" fillId="17" borderId="0" xfId="6" applyNumberFormat="1" applyFont="1" applyFill="1" applyAlignment="1" applyProtection="1">
      <alignment vertical="center"/>
      <protection locked="0"/>
    </xf>
    <xf numFmtId="0" fontId="10" fillId="17" borderId="0" xfId="6" applyFont="1" applyFill="1" applyAlignment="1" applyProtection="1">
      <alignment horizontal="center" vertical="center"/>
      <protection locked="0"/>
    </xf>
    <xf numFmtId="170" fontId="8" fillId="3" borderId="76" xfId="6" applyNumberFormat="1" applyFont="1" applyFill="1" applyBorder="1" applyAlignment="1" applyProtection="1">
      <alignment vertical="center"/>
      <protection locked="0"/>
    </xf>
    <xf numFmtId="170" fontId="8" fillId="0" borderId="76" xfId="6" applyNumberFormat="1" applyFont="1" applyBorder="1" applyAlignment="1" applyProtection="1">
      <alignment horizontal="left" vertical="center"/>
      <protection locked="0"/>
    </xf>
    <xf numFmtId="170" fontId="8" fillId="3" borderId="12" xfId="6" applyNumberFormat="1" applyFont="1" applyFill="1" applyBorder="1" applyAlignment="1" applyProtection="1">
      <alignment vertical="center"/>
      <protection locked="0"/>
    </xf>
    <xf numFmtId="167" fontId="8" fillId="0" borderId="97" xfId="6" applyNumberFormat="1" applyFont="1" applyBorder="1" applyAlignment="1" applyProtection="1">
      <alignment vertical="center"/>
      <protection locked="0"/>
    </xf>
    <xf numFmtId="167" fontId="8" fillId="21" borderId="17" xfId="6" applyNumberFormat="1" applyFont="1" applyFill="1" applyBorder="1" applyAlignment="1" applyProtection="1">
      <alignment horizontal="center" vertical="center"/>
      <protection locked="0"/>
    </xf>
    <xf numFmtId="0" fontId="8" fillId="17" borderId="0" xfId="6" applyFont="1" applyFill="1" applyAlignment="1" applyProtection="1">
      <alignment horizontal="left" vertical="center"/>
      <protection locked="0"/>
    </xf>
    <xf numFmtId="170" fontId="8" fillId="0" borderId="4" xfId="6" applyNumberFormat="1" applyFont="1" applyBorder="1" applyAlignment="1" applyProtection="1">
      <alignment horizontal="left" vertical="center"/>
      <protection locked="0"/>
    </xf>
    <xf numFmtId="167" fontId="8" fillId="0" borderId="4" xfId="6" applyNumberFormat="1" applyFont="1" applyBorder="1" applyAlignment="1" applyProtection="1">
      <alignment horizontal="left" vertical="center"/>
      <protection locked="0"/>
    </xf>
    <xf numFmtId="0" fontId="8" fillId="2" borderId="0" xfId="6" applyFont="1" applyFill="1" applyAlignment="1" applyProtection="1">
      <alignment horizontal="left" vertical="center"/>
      <protection locked="0"/>
    </xf>
    <xf numFmtId="0" fontId="13" fillId="17" borderId="0" xfId="6" applyFont="1" applyFill="1" applyAlignment="1" applyProtection="1">
      <alignment horizontal="left" vertical="center"/>
      <protection locked="0"/>
    </xf>
    <xf numFmtId="0" fontId="13" fillId="17" borderId="0" xfId="6" applyFont="1" applyFill="1" applyAlignment="1" applyProtection="1">
      <alignment horizontal="center" vertical="center"/>
      <protection locked="0"/>
    </xf>
    <xf numFmtId="0" fontId="8" fillId="2" borderId="0" xfId="6" applyFont="1" applyFill="1" applyAlignment="1" applyProtection="1">
      <alignment vertical="center"/>
      <protection locked="0"/>
    </xf>
    <xf numFmtId="167" fontId="40" fillId="17" borderId="0" xfId="6" applyNumberFormat="1" applyFont="1" applyFill="1" applyAlignment="1" applyProtection="1">
      <alignment vertical="center"/>
      <protection locked="0"/>
    </xf>
    <xf numFmtId="0" fontId="8" fillId="18" borderId="90" xfId="6" applyFont="1" applyFill="1" applyBorder="1" applyAlignment="1" applyProtection="1">
      <alignment horizontal="center" vertical="center"/>
    </xf>
    <xf numFmtId="0" fontId="8" fillId="18" borderId="91" xfId="6" applyFont="1" applyFill="1" applyBorder="1" applyAlignment="1" applyProtection="1">
      <alignment horizontal="center" vertical="center" wrapText="1"/>
    </xf>
    <xf numFmtId="0" fontId="6" fillId="17" borderId="0" xfId="6" applyFont="1" applyFill="1" applyAlignment="1" applyProtection="1">
      <alignment horizontal="centerContinuous" vertical="top"/>
    </xf>
    <xf numFmtId="0" fontId="2" fillId="12" borderId="1" xfId="5" applyFill="1" applyBorder="1" applyProtection="1"/>
    <xf numFmtId="0" fontId="2" fillId="12" borderId="2" xfId="5" applyFill="1" applyBorder="1" applyAlignment="1" applyProtection="1">
      <alignment horizontal="centerContinuous"/>
    </xf>
    <xf numFmtId="1" fontId="2" fillId="17" borderId="2" xfId="5" applyNumberFormat="1" applyFill="1" applyBorder="1" applyAlignment="1" applyProtection="1">
      <alignment horizontal="centerContinuous"/>
    </xf>
    <xf numFmtId="0" fontId="2" fillId="12" borderId="3" xfId="5" applyFill="1" applyBorder="1" applyProtection="1"/>
    <xf numFmtId="0" fontId="2" fillId="12" borderId="0" xfId="5" applyFill="1" applyAlignment="1" applyProtection="1">
      <alignment horizontal="centerContinuous" vertical="center"/>
    </xf>
    <xf numFmtId="0" fontId="1" fillId="12" borderId="0" xfId="5" applyFont="1" applyFill="1" applyAlignment="1" applyProtection="1">
      <alignment horizontal="centerContinuous" vertical="center"/>
    </xf>
    <xf numFmtId="1" fontId="2" fillId="17" borderId="0" xfId="5" applyNumberFormat="1" applyFill="1" applyAlignment="1" applyProtection="1">
      <alignment horizontal="centerContinuous" vertical="center"/>
    </xf>
    <xf numFmtId="0" fontId="8" fillId="13" borderId="98" xfId="5" applyFont="1" applyFill="1" applyBorder="1" applyAlignment="1" applyProtection="1">
      <alignment vertical="center"/>
    </xf>
    <xf numFmtId="0" fontId="8" fillId="13" borderId="100" xfId="5" applyFont="1" applyFill="1" applyBorder="1" applyAlignment="1" applyProtection="1">
      <alignment horizontal="centerContinuous" vertical="center"/>
    </xf>
    <xf numFmtId="0" fontId="8" fillId="13" borderId="8" xfId="5" applyFont="1" applyFill="1" applyBorder="1" applyAlignment="1" applyProtection="1">
      <alignment horizontal="center" vertical="center"/>
    </xf>
    <xf numFmtId="0" fontId="10" fillId="13" borderId="8" xfId="5" applyFont="1" applyFill="1" applyBorder="1" applyAlignment="1" applyProtection="1">
      <alignment horizontal="center" vertical="center"/>
    </xf>
    <xf numFmtId="0" fontId="8" fillId="13" borderId="11" xfId="5" applyFont="1" applyFill="1" applyBorder="1" applyAlignment="1" applyProtection="1">
      <alignment horizontal="centerContinuous" vertical="center"/>
    </xf>
    <xf numFmtId="0" fontId="2" fillId="22" borderId="2" xfId="5" applyFill="1" applyBorder="1" applyAlignment="1" applyProtection="1">
      <alignment horizontal="centerContinuous"/>
    </xf>
    <xf numFmtId="0" fontId="2" fillId="22" borderId="0" xfId="5" applyFill="1" applyAlignment="1" applyProtection="1">
      <alignment horizontal="centerContinuous"/>
    </xf>
    <xf numFmtId="0" fontId="6" fillId="22" borderId="0" xfId="6" applyFont="1" applyFill="1" applyAlignment="1" applyProtection="1">
      <alignment horizontal="centerContinuous" vertical="top"/>
    </xf>
    <xf numFmtId="0" fontId="1" fillId="22" borderId="0" xfId="5" applyFont="1" applyFill="1" applyAlignment="1" applyProtection="1">
      <alignment horizontal="centerContinuous" vertical="center"/>
    </xf>
    <xf numFmtId="0" fontId="2" fillId="22" borderId="2" xfId="5" applyFill="1" applyBorder="1" applyAlignment="1" applyProtection="1">
      <alignment horizontal="center"/>
    </xf>
    <xf numFmtId="0" fontId="2" fillId="22" borderId="0" xfId="5" applyFill="1" applyAlignment="1" applyProtection="1">
      <alignment horizontal="center" vertical="center"/>
    </xf>
    <xf numFmtId="49" fontId="2" fillId="23" borderId="2" xfId="5" applyNumberFormat="1" applyFill="1" applyBorder="1" applyAlignment="1" applyProtection="1">
      <alignment horizontal="centerContinuous"/>
    </xf>
    <xf numFmtId="49" fontId="2" fillId="23" borderId="0" xfId="5" applyNumberFormat="1" applyFill="1" applyAlignment="1" applyProtection="1">
      <alignment horizontal="centerContinuous" vertical="center"/>
    </xf>
    <xf numFmtId="0" fontId="8" fillId="13" borderId="8" xfId="5" applyFont="1" applyFill="1" applyBorder="1" applyAlignment="1" applyProtection="1">
      <alignment horizontal="centerContinuous" vertical="center"/>
    </xf>
    <xf numFmtId="0" fontId="8" fillId="18" borderId="15" xfId="6" applyFont="1" applyFill="1" applyBorder="1" applyAlignment="1" applyProtection="1">
      <alignment horizontal="center" vertical="center"/>
    </xf>
    <xf numFmtId="0" fontId="8" fillId="18" borderId="31" xfId="6" applyFont="1" applyFill="1" applyBorder="1" applyAlignment="1" applyProtection="1">
      <alignment horizontal="center" vertical="center" wrapText="1"/>
    </xf>
    <xf numFmtId="1" fontId="8" fillId="18" borderId="19" xfId="6" applyNumberFormat="1" applyFont="1" applyFill="1" applyBorder="1" applyAlignment="1" applyProtection="1">
      <alignment horizontal="center" vertical="center"/>
    </xf>
    <xf numFmtId="165" fontId="8" fillId="18" borderId="90" xfId="6" applyNumberFormat="1" applyFont="1" applyFill="1" applyBorder="1" applyAlignment="1" applyProtection="1">
      <alignment horizontal="center" vertical="center"/>
    </xf>
    <xf numFmtId="1" fontId="8" fillId="18" borderId="15" xfId="6" applyNumberFormat="1" applyFont="1" applyFill="1" applyBorder="1" applyAlignment="1" applyProtection="1">
      <alignment horizontal="center" vertical="center"/>
    </xf>
    <xf numFmtId="49" fontId="2" fillId="12" borderId="2" xfId="5" applyNumberFormat="1" applyFill="1" applyBorder="1" applyAlignment="1" applyProtection="1">
      <alignment horizontal="centerContinuous"/>
    </xf>
    <xf numFmtId="1" fontId="2" fillId="12" borderId="2" xfId="5" applyNumberFormat="1" applyFill="1" applyBorder="1" applyAlignment="1" applyProtection="1">
      <alignment horizontal="centerContinuous"/>
    </xf>
    <xf numFmtId="49" fontId="2" fillId="12" borderId="0" xfId="5" applyNumberFormat="1" applyFill="1" applyAlignment="1" applyProtection="1">
      <alignment horizontal="centerContinuous" vertical="center"/>
    </xf>
    <xf numFmtId="1" fontId="2" fillId="12" borderId="0" xfId="5" applyNumberFormat="1" applyFill="1" applyAlignment="1" applyProtection="1">
      <alignment horizontal="centerContinuous" vertical="center"/>
    </xf>
    <xf numFmtId="0" fontId="8" fillId="13" borderId="27" xfId="5" applyFont="1" applyFill="1" applyBorder="1" applyAlignment="1" applyProtection="1">
      <alignment horizontal="center" vertical="center"/>
    </xf>
    <xf numFmtId="49" fontId="2" fillId="23" borderId="0" xfId="5" applyNumberFormat="1" applyFill="1" applyBorder="1" applyAlignment="1" applyProtection="1">
      <alignment horizontal="centerContinuous"/>
    </xf>
    <xf numFmtId="49" fontId="2" fillId="23" borderId="0" xfId="5" applyNumberFormat="1" applyFill="1" applyBorder="1" applyAlignment="1" applyProtection="1">
      <alignment horizontal="centerContinuous" vertical="center"/>
    </xf>
    <xf numFmtId="49" fontId="2" fillId="23" borderId="106" xfId="5" applyNumberFormat="1" applyFill="1" applyBorder="1" applyAlignment="1" applyProtection="1">
      <alignment horizontal="centerContinuous"/>
    </xf>
    <xf numFmtId="49" fontId="2" fillId="23" borderId="27" xfId="5" applyNumberFormat="1" applyFill="1" applyBorder="1" applyAlignment="1" applyProtection="1">
      <alignment horizontal="centerContinuous" vertical="center"/>
    </xf>
    <xf numFmtId="0" fontId="8" fillId="10" borderId="8" xfId="5" applyFont="1" applyFill="1" applyBorder="1" applyAlignment="1" applyProtection="1">
      <alignment horizontal="centerContinuous" vertical="center"/>
    </xf>
    <xf numFmtId="49" fontId="2" fillId="23" borderId="80" xfId="5" applyNumberFormat="1" applyFill="1" applyBorder="1" applyAlignment="1" applyProtection="1">
      <alignment horizontal="centerContinuous"/>
    </xf>
    <xf numFmtId="49" fontId="2" fillId="23" borderId="8" xfId="5" applyNumberFormat="1" applyFill="1" applyBorder="1" applyAlignment="1" applyProtection="1">
      <alignment horizontal="centerContinuous" vertical="center"/>
    </xf>
    <xf numFmtId="1" fontId="8" fillId="18" borderId="42" xfId="6" applyNumberFormat="1" applyFont="1" applyFill="1" applyBorder="1" applyAlignment="1" applyProtection="1">
      <alignment horizontal="center" vertical="center"/>
    </xf>
    <xf numFmtId="1" fontId="8" fillId="18" borderId="94" xfId="6" applyNumberFormat="1" applyFont="1" applyFill="1" applyBorder="1" applyAlignment="1" applyProtection="1">
      <alignment horizontal="center" vertical="center"/>
    </xf>
    <xf numFmtId="1" fontId="8" fillId="18" borderId="100" xfId="6" applyNumberFormat="1" applyFont="1" applyFill="1" applyBorder="1" applyAlignment="1" applyProtection="1">
      <alignment horizontal="center" vertical="center"/>
    </xf>
    <xf numFmtId="1" fontId="8" fillId="18" borderId="99" xfId="6" applyNumberFormat="1" applyFont="1" applyFill="1" applyBorder="1" applyAlignment="1" applyProtection="1">
      <alignment horizontal="center" vertical="center"/>
    </xf>
    <xf numFmtId="0" fontId="10" fillId="17" borderId="7" xfId="6" applyFont="1" applyFill="1" applyBorder="1" applyProtection="1">
      <protection locked="0"/>
    </xf>
    <xf numFmtId="0" fontId="8" fillId="17" borderId="7" xfId="6" applyFont="1" applyFill="1" applyBorder="1" applyProtection="1">
      <protection locked="0"/>
    </xf>
    <xf numFmtId="170" fontId="10" fillId="17" borderId="66" xfId="6" applyNumberFormat="1" applyFont="1" applyFill="1" applyBorder="1" applyAlignment="1" applyProtection="1">
      <alignment horizontal="center" vertical="top"/>
    </xf>
    <xf numFmtId="0" fontId="10" fillId="18" borderId="30" xfId="6" applyFont="1" applyFill="1" applyBorder="1" applyAlignment="1" applyProtection="1">
      <alignment horizontal="center"/>
    </xf>
    <xf numFmtId="0" fontId="10" fillId="18" borderId="62" xfId="6" applyFont="1" applyFill="1" applyBorder="1" applyAlignment="1" applyProtection="1">
      <alignment horizontal="center"/>
    </xf>
    <xf numFmtId="0" fontId="8" fillId="18" borderId="19" xfId="6" applyFont="1" applyFill="1" applyBorder="1" applyAlignment="1" applyProtection="1">
      <alignment horizontal="center"/>
    </xf>
    <xf numFmtId="0" fontId="8" fillId="18" borderId="4" xfId="6" applyFont="1" applyFill="1" applyBorder="1" applyAlignment="1" applyProtection="1">
      <alignment horizontal="center"/>
    </xf>
    <xf numFmtId="0" fontId="10" fillId="18" borderId="29" xfId="6" applyFont="1" applyFill="1" applyBorder="1" applyAlignment="1" applyProtection="1"/>
    <xf numFmtId="0" fontId="10" fillId="18" borderId="4" xfId="6" applyFont="1" applyFill="1" applyBorder="1" applyAlignment="1" applyProtection="1"/>
    <xf numFmtId="0" fontId="8" fillId="18" borderId="39" xfId="6" applyFont="1" applyFill="1" applyBorder="1" applyAlignment="1" applyProtection="1">
      <alignment horizontal="center" vertical="center" wrapText="1"/>
    </xf>
    <xf numFmtId="1" fontId="8" fillId="18" borderId="93" xfId="6" applyNumberFormat="1" applyFont="1" applyFill="1" applyBorder="1" applyAlignment="1" applyProtection="1">
      <alignment horizontal="center" vertical="center"/>
    </xf>
    <xf numFmtId="1" fontId="8" fillId="18" borderId="32" xfId="6" applyNumberFormat="1" applyFont="1" applyFill="1" applyBorder="1" applyAlignment="1" applyProtection="1">
      <alignment horizontal="center" vertical="center"/>
    </xf>
    <xf numFmtId="170" fontId="8" fillId="0" borderId="13" xfId="6" applyNumberFormat="1" applyFont="1" applyBorder="1" applyAlignment="1" applyProtection="1">
      <alignment horizontal="left" vertical="center"/>
      <protection locked="0"/>
    </xf>
    <xf numFmtId="170" fontId="8" fillId="0" borderId="12" xfId="6" applyNumberFormat="1" applyFont="1" applyBorder="1" applyAlignment="1" applyProtection="1">
      <alignment horizontal="left" vertical="center"/>
      <protection locked="0"/>
    </xf>
    <xf numFmtId="167" fontId="8" fillId="0" borderId="12" xfId="6" applyNumberFormat="1" applyFont="1" applyBorder="1" applyAlignment="1" applyProtection="1">
      <alignment vertical="center"/>
      <protection locked="0"/>
    </xf>
    <xf numFmtId="170" fontId="8" fillId="0" borderId="60" xfId="6" applyNumberFormat="1" applyFont="1" applyBorder="1" applyAlignment="1" applyProtection="1">
      <alignment horizontal="center" vertical="center"/>
      <protection locked="0"/>
    </xf>
    <xf numFmtId="1" fontId="8" fillId="18" borderId="41" xfId="6" applyNumberFormat="1" applyFont="1" applyFill="1" applyBorder="1" applyAlignment="1" applyProtection="1">
      <alignment horizontal="center" vertical="center"/>
    </xf>
    <xf numFmtId="0" fontId="8" fillId="17" borderId="26" xfId="6" applyFont="1" applyFill="1" applyBorder="1" applyAlignment="1" applyProtection="1">
      <alignment vertical="center"/>
      <protection locked="0"/>
    </xf>
    <xf numFmtId="165" fontId="8" fillId="17" borderId="26" xfId="6" applyNumberFormat="1" applyFont="1" applyFill="1" applyBorder="1" applyAlignment="1" applyProtection="1">
      <alignment horizontal="center" vertical="center"/>
      <protection locked="0"/>
    </xf>
    <xf numFmtId="0" fontId="8" fillId="17" borderId="26" xfId="6" applyFont="1" applyFill="1" applyBorder="1" applyAlignment="1" applyProtection="1">
      <alignment horizontal="center" vertical="center"/>
      <protection locked="0"/>
    </xf>
    <xf numFmtId="1" fontId="8" fillId="17" borderId="26" xfId="6" applyNumberFormat="1" applyFont="1" applyFill="1" applyBorder="1" applyAlignment="1" applyProtection="1">
      <alignment horizontal="center" vertical="center"/>
      <protection locked="0"/>
    </xf>
    <xf numFmtId="1" fontId="8" fillId="17" borderId="26" xfId="6" applyNumberFormat="1" applyFont="1" applyFill="1" applyBorder="1" applyAlignment="1" applyProtection="1">
      <alignment vertical="center"/>
      <protection locked="0"/>
    </xf>
    <xf numFmtId="0" fontId="10" fillId="17" borderId="26" xfId="6" applyFont="1" applyFill="1" applyBorder="1" applyAlignment="1" applyProtection="1">
      <alignment horizontal="center" vertical="center"/>
      <protection locked="0"/>
    </xf>
    <xf numFmtId="0" fontId="8" fillId="17" borderId="26" xfId="6" applyFont="1" applyFill="1" applyBorder="1" applyProtection="1">
      <protection locked="0"/>
    </xf>
    <xf numFmtId="2" fontId="10" fillId="18" borderId="54" xfId="6" applyNumberFormat="1" applyFont="1" applyFill="1" applyBorder="1" applyAlignment="1" applyProtection="1">
      <alignment horizontal="center" vertical="center"/>
    </xf>
    <xf numFmtId="2" fontId="10" fillId="18" borderId="26" xfId="6" applyNumberFormat="1" applyFont="1" applyFill="1" applyBorder="1" applyAlignment="1" applyProtection="1">
      <alignment horizontal="center" vertical="center"/>
    </xf>
    <xf numFmtId="1" fontId="8" fillId="18" borderId="47" xfId="6" applyNumberFormat="1" applyFont="1" applyFill="1" applyBorder="1" applyAlignment="1" applyProtection="1">
      <alignment horizontal="center" vertical="center"/>
    </xf>
    <xf numFmtId="165" fontId="8" fillId="18" borderId="47" xfId="6" applyNumberFormat="1" applyFont="1" applyFill="1" applyBorder="1" applyAlignment="1" applyProtection="1">
      <alignment horizontal="center" vertical="center"/>
    </xf>
    <xf numFmtId="1" fontId="8" fillId="18" borderId="26" xfId="6" applyNumberFormat="1" applyFont="1" applyFill="1" applyBorder="1" applyAlignment="1" applyProtection="1">
      <alignment horizontal="center" vertical="center"/>
    </xf>
    <xf numFmtId="0" fontId="8" fillId="14" borderId="26" xfId="6" applyFont="1" applyFill="1" applyBorder="1" applyProtection="1">
      <protection locked="0"/>
    </xf>
    <xf numFmtId="1" fontId="8" fillId="17" borderId="110" xfId="6" applyNumberFormat="1" applyFont="1" applyFill="1" applyBorder="1" applyAlignment="1" applyProtection="1">
      <alignment horizontal="center"/>
      <protection locked="0"/>
    </xf>
    <xf numFmtId="0" fontId="2" fillId="22" borderId="0" xfId="5" applyFill="1" applyBorder="1" applyAlignment="1" applyProtection="1">
      <alignment horizontal="centerContinuous"/>
    </xf>
    <xf numFmtId="49" fontId="2" fillId="12" borderId="0" xfId="5" applyNumberFormat="1" applyFill="1" applyBorder="1" applyAlignment="1" applyProtection="1">
      <alignment horizontal="centerContinuous" vertical="center"/>
    </xf>
    <xf numFmtId="49" fontId="2" fillId="12" borderId="0" xfId="5" applyNumberFormat="1" applyFill="1" applyBorder="1" applyAlignment="1" applyProtection="1">
      <alignment horizontal="centerContinuous"/>
    </xf>
    <xf numFmtId="0" fontId="8" fillId="18" borderId="40" xfId="6" applyFont="1" applyFill="1" applyBorder="1" applyAlignment="1" applyProtection="1">
      <alignment horizontal="center" vertical="center" wrapText="1"/>
    </xf>
    <xf numFmtId="0" fontId="8" fillId="18" borderId="74" xfId="6" applyFont="1" applyFill="1" applyBorder="1" applyAlignment="1" applyProtection="1">
      <alignment horizontal="center" vertical="center"/>
    </xf>
    <xf numFmtId="0" fontId="10" fillId="18" borderId="54" xfId="6" applyFont="1" applyFill="1" applyBorder="1" applyAlignment="1" applyProtection="1">
      <alignment horizontal="center" vertical="center"/>
    </xf>
    <xf numFmtId="165" fontId="44" fillId="18" borderId="25" xfId="6" applyNumberFormat="1" applyFont="1" applyFill="1" applyBorder="1" applyAlignment="1" applyProtection="1">
      <alignment horizontal="center" vertical="center"/>
    </xf>
    <xf numFmtId="165" fontId="44" fillId="18" borderId="20" xfId="6" applyNumberFormat="1" applyFont="1" applyFill="1" applyBorder="1" applyAlignment="1" applyProtection="1">
      <alignment horizontal="center" vertical="center"/>
    </xf>
    <xf numFmtId="0" fontId="2" fillId="12" borderId="105" xfId="5" applyFill="1" applyBorder="1" applyAlignment="1" applyProtection="1">
      <alignment horizontal="centerContinuous"/>
    </xf>
    <xf numFmtId="0" fontId="1" fillId="12" borderId="9" xfId="5" applyFont="1" applyFill="1" applyBorder="1" applyAlignment="1" applyProtection="1">
      <alignment horizontal="centerContinuous" vertical="center"/>
    </xf>
    <xf numFmtId="0" fontId="8" fillId="18" borderId="93" xfId="6" applyFont="1" applyFill="1" applyBorder="1" applyAlignment="1" applyProtection="1">
      <alignment horizontal="center" vertical="center"/>
    </xf>
    <xf numFmtId="1" fontId="8" fillId="18" borderId="30" xfId="6" applyNumberFormat="1" applyFont="1" applyFill="1" applyBorder="1" applyAlignment="1" applyProtection="1">
      <alignment horizontal="center" vertical="center"/>
    </xf>
    <xf numFmtId="0" fontId="8" fillId="18" borderId="21" xfId="6" applyFont="1" applyFill="1" applyBorder="1" applyAlignment="1" applyProtection="1">
      <alignment horizontal="center" vertical="center" wrapText="1"/>
    </xf>
    <xf numFmtId="0" fontId="8" fillId="18" borderId="22" xfId="6" applyFont="1" applyFill="1" applyBorder="1" applyAlignment="1" applyProtection="1">
      <alignment horizontal="center"/>
    </xf>
    <xf numFmtId="177" fontId="7" fillId="18" borderId="17" xfId="6" applyNumberFormat="1" applyFont="1" applyFill="1" applyBorder="1" applyAlignment="1" applyProtection="1">
      <alignment horizontal="center" vertical="center" wrapText="1"/>
    </xf>
    <xf numFmtId="1" fontId="8" fillId="18" borderId="25" xfId="6" applyNumberFormat="1" applyFont="1" applyFill="1" applyBorder="1" applyAlignment="1" applyProtection="1">
      <alignment horizontal="center" vertical="center"/>
    </xf>
    <xf numFmtId="165" fontId="8" fillId="18" borderId="94" xfId="6" applyNumberFormat="1" applyFont="1" applyFill="1" applyBorder="1" applyAlignment="1" applyProtection="1">
      <alignment horizontal="center" vertical="center"/>
    </xf>
    <xf numFmtId="1" fontId="8" fillId="18" borderId="22" xfId="6" applyNumberFormat="1" applyFont="1" applyFill="1" applyBorder="1" applyAlignment="1" applyProtection="1">
      <alignment horizontal="center" vertical="center"/>
    </xf>
    <xf numFmtId="1" fontId="8" fillId="18" borderId="91" xfId="6" applyNumberFormat="1" applyFont="1" applyFill="1" applyBorder="1" applyAlignment="1" applyProtection="1">
      <alignment horizontal="center" vertical="center"/>
    </xf>
    <xf numFmtId="1" fontId="8" fillId="18" borderId="17" xfId="6" applyNumberFormat="1" applyFont="1" applyFill="1" applyBorder="1" applyAlignment="1" applyProtection="1">
      <alignment horizontal="center" vertical="center"/>
    </xf>
    <xf numFmtId="1" fontId="8" fillId="18" borderId="73" xfId="6" applyNumberFormat="1" applyFont="1" applyFill="1" applyBorder="1" applyAlignment="1" applyProtection="1">
      <alignment horizontal="center" vertical="center"/>
    </xf>
    <xf numFmtId="1" fontId="8" fillId="18" borderId="74" xfId="6" applyNumberFormat="1" applyFont="1" applyFill="1" applyBorder="1" applyAlignment="1" applyProtection="1">
      <alignment horizontal="center" vertical="center"/>
    </xf>
    <xf numFmtId="1" fontId="8" fillId="18" borderId="13" xfId="6" applyNumberFormat="1" applyFont="1" applyFill="1" applyBorder="1" applyAlignment="1" applyProtection="1">
      <alignment horizontal="center" vertical="center"/>
    </xf>
    <xf numFmtId="1" fontId="8" fillId="18" borderId="33" xfId="6" applyNumberFormat="1" applyFont="1" applyFill="1" applyBorder="1" applyAlignment="1" applyProtection="1">
      <alignment horizontal="center" vertical="center"/>
    </xf>
    <xf numFmtId="1" fontId="8" fillId="18" borderId="45" xfId="6" applyNumberFormat="1" applyFont="1" applyFill="1" applyBorder="1" applyAlignment="1" applyProtection="1">
      <alignment horizontal="center" vertical="center"/>
    </xf>
    <xf numFmtId="178" fontId="8" fillId="6" borderId="54" xfId="6" applyNumberFormat="1" applyFont="1" applyFill="1" applyBorder="1" applyAlignment="1" applyProtection="1">
      <alignment horizontal="center" vertical="center"/>
    </xf>
    <xf numFmtId="1" fontId="8" fillId="18" borderId="8" xfId="6" applyNumberFormat="1" applyFont="1" applyFill="1" applyBorder="1" applyAlignment="1" applyProtection="1">
      <alignment horizontal="center" vertical="center"/>
    </xf>
    <xf numFmtId="1" fontId="8" fillId="18" borderId="60" xfId="6" applyNumberFormat="1" applyFont="1" applyFill="1" applyBorder="1" applyAlignment="1" applyProtection="1">
      <alignment horizontal="center" vertical="center"/>
    </xf>
    <xf numFmtId="1" fontId="8" fillId="18" borderId="46" xfId="6" applyNumberFormat="1" applyFont="1" applyFill="1" applyBorder="1" applyAlignment="1" applyProtection="1">
      <alignment horizontal="center" vertical="center"/>
    </xf>
    <xf numFmtId="165" fontId="8" fillId="18" borderId="75" xfId="6" applyNumberFormat="1" applyFont="1" applyFill="1" applyBorder="1" applyAlignment="1" applyProtection="1">
      <alignment horizontal="center" vertical="center"/>
    </xf>
    <xf numFmtId="1" fontId="8" fillId="18" borderId="75" xfId="6" applyNumberFormat="1" applyFont="1" applyFill="1" applyBorder="1" applyAlignment="1" applyProtection="1">
      <alignment horizontal="center" vertical="center"/>
    </xf>
    <xf numFmtId="0" fontId="31" fillId="15" borderId="25" xfId="1" applyNumberFormat="1" applyFont="1" applyFill="1" applyBorder="1" applyAlignment="1" applyProtection="1">
      <alignment horizontal="center" vertical="center"/>
    </xf>
    <xf numFmtId="165" fontId="45" fillId="18" borderId="45" xfId="6" applyNumberFormat="1" applyFont="1" applyFill="1" applyBorder="1" applyAlignment="1" applyProtection="1">
      <alignment horizontal="center" vertical="center"/>
    </xf>
    <xf numFmtId="165" fontId="45" fillId="18" borderId="25" xfId="6" applyNumberFormat="1" applyFont="1" applyFill="1" applyBorder="1" applyAlignment="1" applyProtection="1">
      <alignment horizontal="center" vertical="center"/>
    </xf>
    <xf numFmtId="165" fontId="45" fillId="18" borderId="20" xfId="6" applyNumberFormat="1" applyFont="1" applyFill="1" applyBorder="1" applyAlignment="1" applyProtection="1">
      <alignment horizontal="center" vertical="center"/>
    </xf>
    <xf numFmtId="165" fontId="45" fillId="18" borderId="47" xfId="6" applyNumberFormat="1" applyFont="1" applyFill="1" applyBorder="1" applyAlignment="1" applyProtection="1">
      <alignment horizontal="center" vertical="center"/>
    </xf>
    <xf numFmtId="1" fontId="45" fillId="18" borderId="26" xfId="6" applyNumberFormat="1" applyFont="1" applyFill="1" applyBorder="1" applyAlignment="1" applyProtection="1">
      <alignment horizontal="center" vertical="center"/>
    </xf>
    <xf numFmtId="0" fontId="10" fillId="18" borderId="23" xfId="6" applyFont="1" applyFill="1" applyBorder="1" applyAlignment="1" applyProtection="1"/>
    <xf numFmtId="0" fontId="10" fillId="18" borderId="14" xfId="6" applyFont="1" applyFill="1" applyBorder="1" applyAlignment="1" applyProtection="1"/>
    <xf numFmtId="0" fontId="10" fillId="18" borderId="48" xfId="6" applyFont="1" applyFill="1" applyBorder="1" applyAlignment="1" applyProtection="1">
      <alignment horizontal="center" vertical="center" wrapText="1"/>
    </xf>
    <xf numFmtId="1" fontId="8" fillId="18" borderId="14" xfId="6" applyNumberFormat="1" applyFont="1" applyFill="1" applyBorder="1" applyAlignment="1" applyProtection="1">
      <alignment horizontal="center" vertical="center"/>
    </xf>
    <xf numFmtId="1" fontId="45" fillId="18" borderId="20" xfId="6" applyNumberFormat="1" applyFont="1" applyFill="1" applyBorder="1" applyAlignment="1" applyProtection="1">
      <alignment horizontal="center" vertical="center"/>
    </xf>
    <xf numFmtId="2" fontId="8" fillId="18" borderId="43" xfId="6" applyNumberFormat="1" applyFont="1" applyFill="1" applyBorder="1" applyAlignment="1" applyProtection="1">
      <alignment horizontal="center" vertical="center"/>
    </xf>
    <xf numFmtId="2" fontId="8" fillId="18" borderId="73" xfId="6" applyNumberFormat="1" applyFont="1" applyFill="1" applyBorder="1" applyAlignment="1" applyProtection="1">
      <alignment horizontal="center" vertical="center"/>
    </xf>
    <xf numFmtId="2" fontId="8" fillId="18" borderId="74" xfId="6" applyNumberFormat="1" applyFont="1" applyFill="1" applyBorder="1" applyAlignment="1" applyProtection="1">
      <alignment horizontal="center" vertical="center"/>
    </xf>
    <xf numFmtId="1" fontId="29" fillId="18" borderId="25" xfId="6" applyNumberFormat="1" applyFont="1" applyFill="1" applyBorder="1" applyAlignment="1" applyProtection="1">
      <alignment horizontal="center" vertical="center"/>
    </xf>
    <xf numFmtId="0" fontId="31" fillId="15" borderId="46" xfId="1" applyNumberFormat="1" applyFont="1" applyFill="1" applyBorder="1" applyAlignment="1" applyProtection="1">
      <alignment horizontal="center" vertical="center"/>
    </xf>
    <xf numFmtId="0" fontId="8" fillId="18" borderId="14" xfId="6" applyFont="1" applyFill="1" applyBorder="1" applyAlignment="1" applyProtection="1">
      <alignment horizontal="center" vertical="center" wrapText="1"/>
    </xf>
    <xf numFmtId="9" fontId="31" fillId="15" borderId="14" xfId="2" applyNumberFormat="1" applyFont="1" applyFill="1" applyBorder="1" applyAlignment="1" applyProtection="1">
      <alignment horizontal="center" vertical="center"/>
    </xf>
    <xf numFmtId="0" fontId="31" fillId="15" borderId="23" xfId="1" applyNumberFormat="1" applyFont="1" applyFill="1" applyBorder="1" applyAlignment="1" applyProtection="1">
      <alignment horizontal="center" vertical="center"/>
    </xf>
    <xf numFmtId="1" fontId="8" fillId="18" borderId="112" xfId="6" applyNumberFormat="1" applyFont="1" applyFill="1" applyBorder="1" applyAlignment="1" applyProtection="1">
      <alignment horizontal="center" vertical="center"/>
    </xf>
    <xf numFmtId="1" fontId="8" fillId="18" borderId="54" xfId="6" applyNumberFormat="1" applyFont="1" applyFill="1" applyBorder="1" applyAlignment="1" applyProtection="1">
      <alignment horizontal="center" vertical="center"/>
    </xf>
    <xf numFmtId="1" fontId="29" fillId="18" borderId="46" xfId="6" applyNumberFormat="1" applyFont="1" applyFill="1" applyBorder="1" applyAlignment="1" applyProtection="1">
      <alignment horizontal="center" vertical="center"/>
    </xf>
    <xf numFmtId="0" fontId="10" fillId="18" borderId="14" xfId="6" applyFont="1" applyFill="1" applyBorder="1" applyAlignment="1" applyProtection="1">
      <alignment horizontal="centerContinuous" wrapText="1"/>
    </xf>
    <xf numFmtId="1" fontId="8" fillId="18" borderId="111" xfId="6" applyNumberFormat="1" applyFont="1" applyFill="1" applyBorder="1" applyAlignment="1" applyProtection="1">
      <alignment horizontal="center" vertical="center"/>
    </xf>
    <xf numFmtId="1" fontId="8" fillId="18" borderId="52" xfId="6" applyNumberFormat="1" applyFont="1" applyFill="1" applyBorder="1" applyAlignment="1" applyProtection="1">
      <alignment horizontal="center" vertical="center"/>
    </xf>
    <xf numFmtId="1" fontId="8" fillId="18" borderId="0" xfId="6" applyNumberFormat="1" applyFont="1" applyFill="1" applyBorder="1" applyAlignment="1" applyProtection="1">
      <alignment horizontal="center" vertical="center"/>
    </xf>
    <xf numFmtId="2" fontId="29" fillId="18" borderId="44" xfId="6" applyNumberFormat="1" applyFont="1" applyFill="1" applyBorder="1" applyAlignment="1" applyProtection="1">
      <alignment horizontal="center" vertical="center"/>
    </xf>
    <xf numFmtId="2" fontId="8" fillId="18" borderId="72" xfId="6" applyNumberFormat="1" applyFont="1" applyFill="1" applyBorder="1" applyAlignment="1" applyProtection="1">
      <alignment horizontal="center" vertical="center"/>
    </xf>
    <xf numFmtId="0" fontId="8" fillId="18" borderId="71" xfId="6" applyFont="1" applyFill="1" applyBorder="1" applyAlignment="1" applyProtection="1">
      <alignment vertical="center"/>
    </xf>
    <xf numFmtId="0" fontId="35" fillId="0" borderId="0" xfId="0" applyFont="1" applyFill="1" applyAlignment="1">
      <alignment horizontal="center" vertical="center"/>
    </xf>
    <xf numFmtId="0" fontId="34" fillId="0" borderId="0" xfId="0" applyFont="1" applyFill="1" applyAlignment="1">
      <alignment horizontal="center" vertical="center"/>
    </xf>
    <xf numFmtId="0" fontId="36" fillId="0" borderId="0" xfId="0" applyFont="1" applyFill="1" applyAlignment="1">
      <alignment horizontal="center" vertical="center"/>
    </xf>
    <xf numFmtId="0" fontId="37" fillId="0" borderId="0" xfId="0" applyFont="1" applyFill="1" applyAlignment="1">
      <alignment horizontal="center" vertical="center"/>
    </xf>
    <xf numFmtId="0" fontId="2" fillId="0" borderId="83" xfId="0" applyFont="1" applyFill="1" applyBorder="1" applyAlignment="1">
      <alignment horizontal="center" wrapText="1"/>
    </xf>
    <xf numFmtId="165" fontId="8" fillId="10" borderId="19" xfId="6" applyNumberFormat="1" applyFont="1" applyFill="1" applyBorder="1" applyAlignment="1" applyProtection="1">
      <alignment horizontal="center"/>
    </xf>
    <xf numFmtId="0" fontId="8" fillId="18" borderId="23" xfId="6" applyFont="1" applyFill="1" applyBorder="1" applyAlignment="1" applyProtection="1">
      <alignment horizontal="center" vertical="center" wrapText="1"/>
    </xf>
    <xf numFmtId="1" fontId="28" fillId="18" borderId="20" xfId="6" applyNumberFormat="1" applyFont="1" applyFill="1" applyBorder="1" applyAlignment="1" applyProtection="1">
      <alignment horizontal="center" vertical="center"/>
    </xf>
    <xf numFmtId="1" fontId="29" fillId="18" borderId="20" xfId="6" applyNumberFormat="1" applyFont="1" applyFill="1" applyBorder="1" applyAlignment="1" applyProtection="1">
      <alignment horizontal="center" vertical="center"/>
    </xf>
    <xf numFmtId="165" fontId="29" fillId="18" borderId="20" xfId="6" applyNumberFormat="1" applyFont="1" applyFill="1" applyBorder="1" applyAlignment="1" applyProtection="1">
      <alignment horizontal="center" vertical="center"/>
    </xf>
    <xf numFmtId="1" fontId="29" fillId="18" borderId="23" xfId="6" applyNumberFormat="1" applyFont="1" applyFill="1" applyBorder="1" applyAlignment="1" applyProtection="1">
      <alignment horizontal="center" vertical="center"/>
    </xf>
    <xf numFmtId="167" fontId="8" fillId="17" borderId="113" xfId="6" applyNumberFormat="1" applyFont="1" applyFill="1" applyBorder="1" applyAlignment="1" applyProtection="1">
      <alignment vertical="center"/>
    </xf>
    <xf numFmtId="165" fontId="29" fillId="18" borderId="34" xfId="6" applyNumberFormat="1" applyFont="1" applyFill="1" applyBorder="1" applyAlignment="1" applyProtection="1">
      <alignment horizontal="center" vertical="center"/>
    </xf>
    <xf numFmtId="1" fontId="28" fillId="18" borderId="23" xfId="6" applyNumberFormat="1" applyFont="1" applyFill="1" applyBorder="1" applyAlignment="1" applyProtection="1">
      <alignment horizontal="center" vertical="center"/>
    </xf>
    <xf numFmtId="1" fontId="28" fillId="18" borderId="25" xfId="6" applyNumberFormat="1" applyFont="1" applyFill="1" applyBorder="1" applyAlignment="1" applyProtection="1">
      <alignment horizontal="center" vertical="center"/>
    </xf>
    <xf numFmtId="165" fontId="10" fillId="18" borderId="33" xfId="6" applyNumberFormat="1" applyFont="1" applyFill="1" applyBorder="1" applyAlignment="1" applyProtection="1">
      <alignment horizontal="center" vertical="center"/>
    </xf>
    <xf numFmtId="165" fontId="10" fillId="18" borderId="23" xfId="6" applyNumberFormat="1" applyFont="1" applyFill="1" applyBorder="1" applyAlignment="1" applyProtection="1">
      <alignment horizontal="center" vertical="center"/>
    </xf>
    <xf numFmtId="165" fontId="10" fillId="18" borderId="29" xfId="6" applyNumberFormat="1" applyFont="1" applyFill="1" applyBorder="1" applyAlignment="1" applyProtection="1">
      <alignment horizontal="center" vertical="center"/>
    </xf>
    <xf numFmtId="165" fontId="10" fillId="18" borderId="20" xfId="6" applyNumberFormat="1" applyFont="1" applyFill="1" applyBorder="1" applyAlignment="1" applyProtection="1">
      <alignment horizontal="center" vertical="center"/>
    </xf>
    <xf numFmtId="0" fontId="0" fillId="17" borderId="0" xfId="0" applyFill="1"/>
    <xf numFmtId="0" fontId="0" fillId="17" borderId="0" xfId="0" applyFill="1" applyAlignment="1">
      <alignment horizontal="justify" vertical="top"/>
    </xf>
    <xf numFmtId="0" fontId="6" fillId="17" borderId="0" xfId="0" applyFont="1" applyFill="1"/>
    <xf numFmtId="0" fontId="1" fillId="17" borderId="0" xfId="0" applyFont="1" applyFill="1"/>
    <xf numFmtId="0" fontId="1" fillId="19" borderId="0" xfId="0" applyFont="1" applyFill="1" applyAlignment="1">
      <alignment vertical="top"/>
    </xf>
    <xf numFmtId="0" fontId="1" fillId="19" borderId="0" xfId="0" applyFont="1" applyFill="1" applyAlignment="1">
      <alignment horizontal="justify" vertical="top"/>
    </xf>
    <xf numFmtId="0" fontId="26" fillId="9" borderId="0" xfId="10" applyFill="1" applyAlignment="1">
      <alignment vertical="top"/>
    </xf>
    <xf numFmtId="0" fontId="26" fillId="17" borderId="0" xfId="10" applyFill="1" applyAlignment="1">
      <alignment vertical="top"/>
    </xf>
    <xf numFmtId="0" fontId="2" fillId="17" borderId="0" xfId="0" applyFont="1" applyFill="1" applyAlignment="1">
      <alignment horizontal="justify" vertical="top" wrapText="1"/>
    </xf>
    <xf numFmtId="0" fontId="2" fillId="17" borderId="0" xfId="0" applyFont="1" applyFill="1" applyAlignment="1">
      <alignment horizontal="justify" vertical="top"/>
    </xf>
    <xf numFmtId="0" fontId="26" fillId="15" borderId="0" xfId="10" applyFill="1" applyAlignment="1">
      <alignment vertical="top"/>
    </xf>
    <xf numFmtId="0" fontId="2" fillId="17" borderId="0" xfId="0" applyFont="1" applyFill="1"/>
    <xf numFmtId="0" fontId="47" fillId="17" borderId="0" xfId="6" applyFont="1" applyFill="1" applyAlignment="1" applyProtection="1">
      <alignment horizontal="center"/>
      <protection locked="0"/>
    </xf>
    <xf numFmtId="0" fontId="8" fillId="10" borderId="54" xfId="6" applyFont="1" applyFill="1" applyBorder="1" applyAlignment="1" applyProtection="1">
      <alignment horizontal="center"/>
    </xf>
    <xf numFmtId="0" fontId="8" fillId="12" borderId="52" xfId="6" applyFont="1" applyFill="1" applyBorder="1" applyAlignment="1" applyProtection="1">
      <alignment horizontal="center"/>
    </xf>
    <xf numFmtId="167" fontId="8" fillId="12" borderId="52" xfId="6" applyNumberFormat="1" applyFont="1" applyFill="1" applyBorder="1" applyAlignment="1" applyProtection="1">
      <alignment horizontal="center"/>
    </xf>
    <xf numFmtId="0" fontId="10" fillId="12" borderId="52" xfId="6" applyFont="1" applyFill="1" applyBorder="1" applyAlignment="1" applyProtection="1">
      <alignment horizontal="left"/>
    </xf>
    <xf numFmtId="0" fontId="8" fillId="10" borderId="62" xfId="6" applyFont="1" applyFill="1" applyBorder="1" applyAlignment="1" applyProtection="1">
      <alignment horizontal="center" vertical="top"/>
    </xf>
    <xf numFmtId="165" fontId="8" fillId="10" borderId="23" xfId="6" applyNumberFormat="1" applyFont="1" applyFill="1" applyBorder="1" applyAlignment="1" applyProtection="1">
      <alignment horizontal="center"/>
    </xf>
    <xf numFmtId="2" fontId="2" fillId="0" borderId="83" xfId="0" applyNumberFormat="1" applyFont="1" applyFill="1" applyBorder="1" applyAlignment="1">
      <alignment horizontal="center" wrapText="1"/>
    </xf>
    <xf numFmtId="165" fontId="8" fillId="18" borderId="60" xfId="6" applyNumberFormat="1" applyFont="1" applyFill="1" applyBorder="1" applyAlignment="1" applyProtection="1">
      <alignment horizontal="center" vertical="center"/>
    </xf>
    <xf numFmtId="165" fontId="8" fillId="18" borderId="91" xfId="6" applyNumberFormat="1" applyFont="1" applyFill="1" applyBorder="1" applyAlignment="1" applyProtection="1">
      <alignment horizontal="center" vertical="center"/>
    </xf>
    <xf numFmtId="165" fontId="8" fillId="18" borderId="39" xfId="6" applyNumberFormat="1" applyFont="1" applyFill="1" applyBorder="1" applyAlignment="1" applyProtection="1">
      <alignment horizontal="center" vertical="center"/>
    </xf>
    <xf numFmtId="165" fontId="8" fillId="18" borderId="101" xfId="6" applyNumberFormat="1" applyFont="1" applyFill="1" applyBorder="1" applyAlignment="1" applyProtection="1">
      <alignment horizontal="center" vertical="center"/>
    </xf>
    <xf numFmtId="165" fontId="8" fillId="18" borderId="77" xfId="6" applyNumberFormat="1" applyFont="1" applyFill="1" applyBorder="1" applyAlignment="1" applyProtection="1">
      <alignment horizontal="center" vertical="center"/>
    </xf>
    <xf numFmtId="165" fontId="8" fillId="18" borderId="4" xfId="6" applyNumberFormat="1" applyFont="1" applyFill="1" applyBorder="1" applyAlignment="1" applyProtection="1">
      <alignment horizontal="center" vertical="center"/>
    </xf>
    <xf numFmtId="165" fontId="29" fillId="18" borderId="23" xfId="6" applyNumberFormat="1" applyFont="1" applyFill="1" applyBorder="1" applyAlignment="1" applyProtection="1">
      <alignment horizontal="center" vertical="center"/>
    </xf>
    <xf numFmtId="165" fontId="8" fillId="17" borderId="26" xfId="6" applyNumberFormat="1" applyFont="1" applyFill="1" applyBorder="1" applyAlignment="1" applyProtection="1">
      <alignment vertical="center"/>
      <protection locked="0"/>
    </xf>
    <xf numFmtId="165" fontId="8" fillId="18" borderId="63" xfId="6" applyNumberFormat="1" applyFont="1" applyFill="1" applyBorder="1" applyAlignment="1" applyProtection="1">
      <alignment horizontal="center" vertical="center"/>
    </xf>
    <xf numFmtId="165" fontId="8" fillId="18" borderId="100" xfId="6" applyNumberFormat="1" applyFont="1" applyFill="1" applyBorder="1" applyAlignment="1" applyProtection="1">
      <alignment horizontal="center" vertical="center"/>
    </xf>
    <xf numFmtId="165" fontId="8" fillId="17" borderId="0" xfId="6" applyNumberFormat="1" applyFont="1" applyFill="1" applyAlignment="1" applyProtection="1">
      <alignment vertical="center"/>
      <protection locked="0"/>
    </xf>
    <xf numFmtId="165" fontId="8" fillId="18" borderId="90" xfId="6" applyNumberFormat="1" applyFont="1" applyFill="1" applyBorder="1" applyAlignment="1" applyProtection="1">
      <alignment horizontal="center" wrapText="1"/>
    </xf>
    <xf numFmtId="165" fontId="28" fillId="18" borderId="20" xfId="6" applyNumberFormat="1" applyFont="1" applyFill="1" applyBorder="1" applyAlignment="1" applyProtection="1">
      <alignment horizontal="center" vertical="center"/>
    </xf>
    <xf numFmtId="49" fontId="8" fillId="17" borderId="0" xfId="5" applyNumberFormat="1" applyFont="1" applyFill="1" applyProtection="1">
      <protection locked="0"/>
    </xf>
    <xf numFmtId="0" fontId="8" fillId="17" borderId="0" xfId="5" applyFont="1" applyFill="1" applyAlignment="1" applyProtection="1">
      <alignment horizontal="left"/>
      <protection locked="0"/>
    </xf>
    <xf numFmtId="165" fontId="8" fillId="17" borderId="0" xfId="5" applyNumberFormat="1" applyFont="1" applyFill="1" applyBorder="1" applyAlignment="1" applyProtection="1">
      <alignment horizontal="left" vertical="center"/>
      <protection locked="0"/>
    </xf>
    <xf numFmtId="0" fontId="8" fillId="17" borderId="9" xfId="5" applyFont="1" applyFill="1" applyBorder="1" applyAlignment="1" applyProtection="1">
      <alignment horizontal="left" vertical="center"/>
      <protection locked="0"/>
    </xf>
    <xf numFmtId="49" fontId="8" fillId="17" borderId="0" xfId="5" applyNumberFormat="1" applyFont="1" applyFill="1" applyAlignment="1" applyProtection="1">
      <alignment horizontal="left" vertical="center"/>
      <protection locked="0"/>
    </xf>
    <xf numFmtId="0" fontId="8" fillId="17" borderId="0" xfId="5" applyFont="1" applyFill="1" applyAlignment="1" applyProtection="1">
      <alignment horizontal="left" vertical="center"/>
      <protection locked="0"/>
    </xf>
    <xf numFmtId="0" fontId="8" fillId="17" borderId="0" xfId="5" applyFont="1" applyFill="1" applyBorder="1" applyAlignment="1" applyProtection="1">
      <alignment horizontal="left" vertical="center"/>
      <protection locked="0"/>
    </xf>
    <xf numFmtId="2" fontId="8" fillId="17" borderId="27" xfId="5" applyNumberFormat="1" applyFont="1" applyFill="1" applyBorder="1" applyAlignment="1" applyProtection="1">
      <alignment horizontal="left" vertical="center"/>
      <protection locked="0"/>
    </xf>
    <xf numFmtId="0" fontId="8" fillId="17" borderId="8" xfId="5" applyFont="1" applyFill="1" applyBorder="1" applyAlignment="1" applyProtection="1">
      <alignment horizontal="left" vertical="center"/>
      <protection locked="0"/>
    </xf>
    <xf numFmtId="0" fontId="2" fillId="11" borderId="0" xfId="5" applyFill="1" applyProtection="1"/>
    <xf numFmtId="0" fontId="8" fillId="11" borderId="0" xfId="5" applyFont="1" applyFill="1" applyAlignment="1" applyProtection="1">
      <alignment vertical="center"/>
    </xf>
    <xf numFmtId="0" fontId="8" fillId="10" borderId="0" xfId="5" applyFont="1" applyFill="1" applyAlignment="1" applyProtection="1">
      <alignment vertical="center"/>
    </xf>
    <xf numFmtId="1" fontId="8" fillId="12" borderId="0" xfId="5" applyNumberFormat="1" applyFont="1" applyFill="1" applyAlignment="1" applyProtection="1">
      <alignment horizontal="center" vertical="center"/>
    </xf>
    <xf numFmtId="0" fontId="8" fillId="11" borderId="99" xfId="5" applyFont="1" applyFill="1" applyBorder="1" applyAlignment="1" applyProtection="1">
      <alignment vertical="center"/>
    </xf>
    <xf numFmtId="0" fontId="8" fillId="11" borderId="12" xfId="5" applyFont="1" applyFill="1" applyBorder="1" applyAlignment="1" applyProtection="1">
      <alignment vertical="center"/>
    </xf>
    <xf numFmtId="2" fontId="52" fillId="11" borderId="0" xfId="5" applyNumberFormat="1" applyFont="1" applyFill="1" applyAlignment="1" applyProtection="1">
      <alignment vertical="center"/>
    </xf>
    <xf numFmtId="0" fontId="52" fillId="11" borderId="0" xfId="5" applyFont="1" applyFill="1" applyProtection="1"/>
    <xf numFmtId="166" fontId="8" fillId="11" borderId="0" xfId="5" applyNumberFormat="1" applyFont="1" applyFill="1" applyAlignment="1" applyProtection="1">
      <alignment vertical="center"/>
    </xf>
    <xf numFmtId="2" fontId="43" fillId="11" borderId="0" xfId="5" applyNumberFormat="1" applyFont="1" applyFill="1" applyAlignment="1" applyProtection="1">
      <alignment vertical="center"/>
    </xf>
    <xf numFmtId="166" fontId="8" fillId="18" borderId="101" xfId="5" applyNumberFormat="1" applyFont="1" applyFill="1" applyBorder="1" applyAlignment="1" applyProtection="1">
      <alignment vertical="center"/>
    </xf>
    <xf numFmtId="166" fontId="2" fillId="18" borderId="101" xfId="5" applyNumberFormat="1" applyFill="1" applyBorder="1" applyAlignment="1" applyProtection="1">
      <alignment vertical="center"/>
    </xf>
    <xf numFmtId="166" fontId="2" fillId="11" borderId="0" xfId="5" applyNumberFormat="1" applyFill="1" applyProtection="1"/>
    <xf numFmtId="1" fontId="8" fillId="13" borderId="11" xfId="5" applyNumberFormat="1" applyFont="1" applyFill="1" applyBorder="1" applyAlignment="1" applyProtection="1">
      <alignment horizontal="center" vertical="center"/>
    </xf>
    <xf numFmtId="165" fontId="8" fillId="17" borderId="8" xfId="5" applyNumberFormat="1" applyFont="1" applyFill="1" applyBorder="1" applyAlignment="1" applyProtection="1">
      <alignment horizontal="center" vertical="center"/>
    </xf>
    <xf numFmtId="167" fontId="8" fillId="12" borderId="8" xfId="5" applyNumberFormat="1" applyFont="1" applyFill="1" applyBorder="1" applyAlignment="1" applyProtection="1">
      <alignment horizontal="center" vertical="center"/>
    </xf>
    <xf numFmtId="167" fontId="8" fillId="18" borderId="90" xfId="5" applyNumberFormat="1" applyFont="1" applyFill="1" applyBorder="1" applyAlignment="1" applyProtection="1">
      <alignment horizontal="center" vertical="center"/>
    </xf>
    <xf numFmtId="0" fontId="2" fillId="18" borderId="101" xfId="5" applyFill="1" applyBorder="1" applyAlignment="1" applyProtection="1">
      <alignment vertical="center"/>
    </xf>
    <xf numFmtId="0" fontId="2" fillId="0" borderId="0" xfId="5" applyProtection="1"/>
    <xf numFmtId="1" fontId="8" fillId="12" borderId="9" xfId="5" applyNumberFormat="1" applyFont="1" applyFill="1" applyBorder="1" applyAlignment="1" applyProtection="1">
      <alignment horizontal="left" vertical="center"/>
    </xf>
    <xf numFmtId="1" fontId="8" fillId="18" borderId="21" xfId="5" applyNumberFormat="1" applyFont="1" applyFill="1" applyBorder="1" applyAlignment="1" applyProtection="1">
      <alignment horizontal="left" vertical="center"/>
    </xf>
    <xf numFmtId="1" fontId="8" fillId="17" borderId="9" xfId="5" applyNumberFormat="1" applyFont="1" applyFill="1" applyBorder="1" applyAlignment="1" applyProtection="1">
      <alignment horizontal="left" vertical="center"/>
    </xf>
    <xf numFmtId="165" fontId="8" fillId="17" borderId="9" xfId="5" applyNumberFormat="1" applyFont="1" applyFill="1" applyBorder="1" applyAlignment="1" applyProtection="1">
      <alignment horizontal="left" vertical="center"/>
    </xf>
    <xf numFmtId="1" fontId="8" fillId="12" borderId="0" xfId="5" applyNumberFormat="1" applyFont="1" applyFill="1" applyBorder="1" applyAlignment="1" applyProtection="1">
      <alignment horizontal="left" vertical="center"/>
    </xf>
    <xf numFmtId="165" fontId="8" fillId="12" borderId="0" xfId="5" applyNumberFormat="1" applyFont="1" applyFill="1" applyBorder="1" applyAlignment="1" applyProtection="1">
      <alignment horizontal="left" vertical="center"/>
    </xf>
    <xf numFmtId="1" fontId="8" fillId="12" borderId="0" xfId="5" applyNumberFormat="1" applyFont="1" applyFill="1" applyAlignment="1" applyProtection="1">
      <alignment horizontal="left" vertical="center"/>
    </xf>
    <xf numFmtId="1" fontId="8" fillId="18" borderId="101" xfId="5" applyNumberFormat="1" applyFont="1" applyFill="1" applyBorder="1" applyAlignment="1" applyProtection="1">
      <alignment horizontal="left" vertical="center"/>
    </xf>
    <xf numFmtId="2" fontId="8" fillId="12" borderId="9" xfId="5" applyNumberFormat="1" applyFont="1" applyFill="1" applyBorder="1" applyAlignment="1" applyProtection="1">
      <alignment horizontal="left" vertical="center"/>
    </xf>
    <xf numFmtId="2" fontId="8" fillId="12" borderId="0" xfId="5" applyNumberFormat="1" applyFont="1" applyFill="1" applyBorder="1" applyAlignment="1" applyProtection="1">
      <alignment horizontal="left" vertical="center"/>
    </xf>
    <xf numFmtId="165" fontId="8" fillId="17" borderId="9" xfId="5" applyNumberFormat="1" applyFont="1" applyFill="1" applyBorder="1" applyAlignment="1" applyProtection="1">
      <alignment horizontal="left"/>
    </xf>
    <xf numFmtId="165" fontId="8" fillId="12" borderId="0" xfId="5" applyNumberFormat="1" applyFont="1" applyFill="1" applyAlignment="1" applyProtection="1">
      <alignment horizontal="left" vertical="center"/>
    </xf>
    <xf numFmtId="1" fontId="8" fillId="18" borderId="90" xfId="6" applyNumberFormat="1" applyFont="1" applyFill="1" applyBorder="1" applyAlignment="1" applyProtection="1">
      <alignment horizontal="center" vertical="center"/>
    </xf>
    <xf numFmtId="49" fontId="2" fillId="12" borderId="105" xfId="5" applyNumberFormat="1" applyFill="1" applyBorder="1" applyAlignment="1" applyProtection="1">
      <alignment horizontal="centerContinuous"/>
    </xf>
    <xf numFmtId="49" fontId="2" fillId="12" borderId="9" xfId="5" applyNumberFormat="1" applyFill="1" applyBorder="1" applyAlignment="1" applyProtection="1">
      <alignment horizontal="centerContinuous" vertical="center"/>
    </xf>
    <xf numFmtId="0" fontId="1" fillId="22" borderId="9" xfId="5" applyFont="1" applyFill="1" applyBorder="1" applyAlignment="1" applyProtection="1">
      <alignment horizontal="centerContinuous" vertical="center"/>
    </xf>
    <xf numFmtId="0" fontId="2" fillId="22" borderId="105" xfId="5" applyFill="1" applyBorder="1" applyAlignment="1" applyProtection="1">
      <alignment horizontal="center"/>
    </xf>
    <xf numFmtId="0" fontId="2" fillId="22" borderId="9" xfId="5" applyFill="1" applyBorder="1" applyAlignment="1" applyProtection="1">
      <alignment horizontal="center" vertical="center"/>
    </xf>
    <xf numFmtId="1" fontId="8" fillId="17" borderId="9" xfId="5" applyNumberFormat="1" applyFont="1" applyFill="1" applyBorder="1" applyAlignment="1" applyProtection="1">
      <alignment horizontal="left" vertical="center"/>
      <protection locked="0"/>
    </xf>
    <xf numFmtId="0" fontId="2" fillId="22" borderId="105" xfId="5" applyFill="1" applyBorder="1" applyAlignment="1" applyProtection="1">
      <alignment horizontal="centerContinuous"/>
    </xf>
    <xf numFmtId="0" fontId="2" fillId="22" borderId="9" xfId="5" applyFill="1" applyBorder="1" applyAlignment="1" applyProtection="1">
      <alignment horizontal="centerContinuous"/>
    </xf>
    <xf numFmtId="0" fontId="6" fillId="22" borderId="105" xfId="6" applyFont="1" applyFill="1" applyBorder="1" applyAlignment="1" applyProtection="1">
      <alignment horizontal="centerContinuous" vertical="top"/>
    </xf>
    <xf numFmtId="49" fontId="2" fillId="23" borderId="105" xfId="5" applyNumberFormat="1" applyFill="1" applyBorder="1" applyAlignment="1" applyProtection="1">
      <alignment horizontal="centerContinuous"/>
    </xf>
    <xf numFmtId="49" fontId="2" fillId="23" borderId="9" xfId="5" applyNumberFormat="1" applyFill="1" applyBorder="1" applyAlignment="1" applyProtection="1">
      <alignment horizontal="centerContinuous" vertical="center"/>
    </xf>
    <xf numFmtId="0" fontId="8" fillId="13" borderId="9" xfId="5" applyFont="1" applyFill="1" applyBorder="1" applyAlignment="1" applyProtection="1">
      <alignment horizontal="center" vertical="center"/>
    </xf>
    <xf numFmtId="0" fontId="8" fillId="13" borderId="0" xfId="5" applyFont="1" applyFill="1" applyBorder="1" applyAlignment="1" applyProtection="1">
      <alignment horizontal="center" vertical="center"/>
    </xf>
    <xf numFmtId="0" fontId="8" fillId="17" borderId="1" xfId="6" applyFont="1" applyFill="1" applyBorder="1" applyAlignment="1" applyProtection="1">
      <alignment horizontal="centerContinuous" vertical="top"/>
      <protection locked="0"/>
    </xf>
    <xf numFmtId="0" fontId="10" fillId="17" borderId="2" xfId="6" applyFont="1" applyFill="1" applyBorder="1" applyAlignment="1" applyProtection="1">
      <alignment horizontal="centerContinuous" vertical="top"/>
      <protection locked="0"/>
    </xf>
    <xf numFmtId="170" fontId="8" fillId="17" borderId="2" xfId="6" applyNumberFormat="1" applyFont="1" applyFill="1" applyBorder="1" applyAlignment="1" applyProtection="1">
      <alignment horizontal="left" vertical="top"/>
      <protection locked="0"/>
    </xf>
    <xf numFmtId="170" fontId="8" fillId="17" borderId="2" xfId="6" applyNumberFormat="1" applyFont="1" applyFill="1" applyBorder="1" applyAlignment="1" applyProtection="1">
      <alignment horizontal="center" vertical="center"/>
      <protection locked="0"/>
    </xf>
    <xf numFmtId="0" fontId="10" fillId="17" borderId="6" xfId="6" applyFont="1" applyFill="1" applyBorder="1" applyAlignment="1" applyProtection="1">
      <alignment horizontal="centerContinuous" vertical="top"/>
      <protection locked="0"/>
    </xf>
    <xf numFmtId="0" fontId="0" fillId="0" borderId="0" xfId="0" applyProtection="1">
      <protection locked="0"/>
    </xf>
    <xf numFmtId="0" fontId="8" fillId="17" borderId="3" xfId="6" applyFont="1" applyFill="1" applyBorder="1" applyAlignment="1" applyProtection="1">
      <alignment horizontal="centerContinuous"/>
      <protection locked="0"/>
    </xf>
    <xf numFmtId="0" fontId="10" fillId="17" borderId="0" xfId="6" applyFont="1" applyFill="1" applyAlignment="1" applyProtection="1">
      <alignment horizontal="centerContinuous"/>
      <protection locked="0"/>
    </xf>
    <xf numFmtId="0" fontId="8" fillId="17" borderId="0" xfId="6" applyFont="1" applyFill="1" applyAlignment="1" applyProtection="1">
      <alignment horizontal="centerContinuous"/>
      <protection locked="0"/>
    </xf>
    <xf numFmtId="0" fontId="6" fillId="17" borderId="0" xfId="6" applyFont="1" applyFill="1" applyAlignment="1" applyProtection="1">
      <alignment horizontal="center" vertical="top"/>
      <protection locked="0"/>
    </xf>
    <xf numFmtId="0" fontId="8" fillId="17" borderId="0" xfId="6" applyFont="1" applyFill="1" applyAlignment="1" applyProtection="1">
      <alignment horizontal="center" vertical="top"/>
      <protection locked="0"/>
    </xf>
    <xf numFmtId="171" fontId="7" fillId="17" borderId="0" xfId="6" applyNumberFormat="1" applyFont="1" applyFill="1" applyAlignment="1" applyProtection="1">
      <alignment vertical="top"/>
      <protection locked="0"/>
    </xf>
    <xf numFmtId="0" fontId="8" fillId="17" borderId="0" xfId="6" applyFont="1" applyFill="1" applyAlignment="1" applyProtection="1">
      <alignment horizontal="centerContinuous" vertical="top"/>
      <protection locked="0"/>
    </xf>
    <xf numFmtId="0" fontId="10" fillId="17" borderId="7" xfId="6" applyFont="1" applyFill="1" applyBorder="1" applyAlignment="1" applyProtection="1">
      <alignment horizontal="centerContinuous"/>
      <protection locked="0"/>
    </xf>
    <xf numFmtId="0" fontId="14" fillId="17" borderId="0" xfId="6" applyFont="1" applyFill="1" applyAlignment="1" applyProtection="1">
      <alignment horizontal="center" vertical="center"/>
      <protection locked="0"/>
    </xf>
    <xf numFmtId="0" fontId="10" fillId="17" borderId="0" xfId="6" applyFont="1" applyFill="1" applyAlignment="1" applyProtection="1">
      <alignment horizontal="left"/>
      <protection locked="0"/>
    </xf>
    <xf numFmtId="171" fontId="8" fillId="17" borderId="0" xfId="6" applyNumberFormat="1" applyFont="1" applyFill="1" applyAlignment="1" applyProtection="1">
      <alignment horizontal="center" vertical="top"/>
      <protection locked="0"/>
    </xf>
    <xf numFmtId="0" fontId="10" fillId="12" borderId="0" xfId="6" applyFont="1" applyFill="1" applyAlignment="1" applyProtection="1">
      <alignment horizontal="centerContinuous"/>
      <protection locked="0"/>
    </xf>
    <xf numFmtId="0" fontId="10" fillId="18" borderId="49" xfId="6" applyFont="1" applyFill="1" applyBorder="1" applyAlignment="1" applyProtection="1">
      <alignment horizontal="left" indent="3"/>
      <protection locked="0"/>
    </xf>
    <xf numFmtId="0" fontId="10" fillId="18" borderId="66" xfId="6" applyFont="1" applyFill="1" applyBorder="1" applyAlignment="1" applyProtection="1">
      <alignment horizontal="left" indent="3"/>
      <protection locked="0"/>
    </xf>
    <xf numFmtId="0" fontId="8" fillId="18" borderId="66" xfId="6" applyFont="1" applyFill="1" applyBorder="1" applyAlignment="1" applyProtection="1">
      <alignment horizontal="centerContinuous"/>
      <protection locked="0"/>
    </xf>
    <xf numFmtId="0" fontId="8" fillId="18" borderId="38" xfId="6" applyFont="1" applyFill="1" applyBorder="1" applyAlignment="1" applyProtection="1">
      <alignment horizontal="center" vertical="center"/>
      <protection locked="0"/>
    </xf>
    <xf numFmtId="0" fontId="8" fillId="12" borderId="0" xfId="6" applyFont="1" applyFill="1" applyAlignment="1" applyProtection="1">
      <alignment horizontal="centerContinuous"/>
      <protection locked="0"/>
    </xf>
    <xf numFmtId="0" fontId="10" fillId="5" borderId="49" xfId="6" applyFont="1" applyFill="1" applyBorder="1" applyAlignment="1" applyProtection="1">
      <alignment horizontal="left"/>
      <protection locked="0"/>
    </xf>
    <xf numFmtId="0" fontId="8" fillId="5" borderId="66" xfId="6" applyFont="1" applyFill="1" applyBorder="1" applyAlignment="1" applyProtection="1">
      <alignment horizontal="centerContinuous"/>
      <protection locked="0"/>
    </xf>
    <xf numFmtId="0" fontId="8" fillId="5" borderId="66" xfId="6" applyFont="1" applyFill="1" applyBorder="1" applyAlignment="1" applyProtection="1">
      <alignment horizontal="center"/>
      <protection locked="0"/>
    </xf>
    <xf numFmtId="0" fontId="8" fillId="5" borderId="38" xfId="6" applyFont="1" applyFill="1" applyBorder="1" applyAlignment="1" applyProtection="1">
      <alignment horizontal="center"/>
      <protection locked="0"/>
    </xf>
    <xf numFmtId="0" fontId="10" fillId="17" borderId="0" xfId="6" applyFont="1" applyFill="1" applyAlignment="1" applyProtection="1">
      <alignment horizontal="center"/>
      <protection locked="0"/>
    </xf>
    <xf numFmtId="171" fontId="8" fillId="17" borderId="0" xfId="6" applyNumberFormat="1" applyFont="1" applyFill="1" applyAlignment="1" applyProtection="1">
      <alignment horizontal="center"/>
      <protection locked="0"/>
    </xf>
    <xf numFmtId="0" fontId="10" fillId="18" borderId="51" xfId="6" applyFont="1" applyFill="1" applyBorder="1" applyAlignment="1" applyProtection="1">
      <alignment horizontal="left" indent="3"/>
      <protection locked="0"/>
    </xf>
    <xf numFmtId="0" fontId="10" fillId="18" borderId="0" xfId="6" applyFont="1" applyFill="1" applyAlignment="1" applyProtection="1">
      <alignment horizontal="left" indent="3"/>
      <protection locked="0"/>
    </xf>
    <xf numFmtId="0" fontId="8" fillId="18" borderId="0" xfId="6" applyFont="1" applyFill="1" applyAlignment="1" applyProtection="1">
      <alignment horizontal="centerContinuous"/>
      <protection locked="0"/>
    </xf>
    <xf numFmtId="0" fontId="8" fillId="18" borderId="52" xfId="6" applyFont="1" applyFill="1" applyBorder="1" applyAlignment="1" applyProtection="1">
      <alignment horizontal="center" vertical="center"/>
      <protection locked="0"/>
    </xf>
    <xf numFmtId="0" fontId="10" fillId="5" borderId="0" xfId="6" applyFont="1" applyFill="1" applyAlignment="1" applyProtection="1">
      <alignment horizontal="left" vertical="center"/>
      <protection locked="0"/>
    </xf>
    <xf numFmtId="0" fontId="8" fillId="5" borderId="0" xfId="6" applyFont="1" applyFill="1" applyAlignment="1" applyProtection="1">
      <alignment horizontal="center"/>
      <protection locked="0"/>
    </xf>
    <xf numFmtId="0" fontId="8" fillId="5" borderId="52" xfId="6" applyFont="1" applyFill="1" applyBorder="1" applyAlignment="1" applyProtection="1">
      <alignment horizontal="center"/>
      <protection locked="0"/>
    </xf>
    <xf numFmtId="0" fontId="10" fillId="17" borderId="0" xfId="6" applyFont="1" applyFill="1" applyAlignment="1" applyProtection="1">
      <alignment horizontal="right"/>
      <protection locked="0"/>
    </xf>
    <xf numFmtId="0" fontId="10" fillId="18" borderId="53" xfId="6" applyFont="1" applyFill="1" applyBorder="1" applyAlignment="1" applyProtection="1">
      <alignment horizontal="left" indent="3"/>
      <protection locked="0"/>
    </xf>
    <xf numFmtId="0" fontId="10" fillId="18" borderId="26" xfId="6" applyFont="1" applyFill="1" applyBorder="1" applyAlignment="1" applyProtection="1">
      <alignment horizontal="left" indent="3"/>
      <protection locked="0"/>
    </xf>
    <xf numFmtId="0" fontId="8" fillId="18" borderId="26" xfId="6" applyFont="1" applyFill="1" applyBorder="1" applyAlignment="1" applyProtection="1">
      <alignment horizontal="centerContinuous"/>
      <protection locked="0"/>
    </xf>
    <xf numFmtId="0" fontId="8" fillId="18" borderId="54" xfId="6" applyFont="1" applyFill="1" applyBorder="1" applyAlignment="1" applyProtection="1">
      <alignment horizontal="center" vertical="center"/>
      <protection locked="0"/>
    </xf>
    <xf numFmtId="0" fontId="8" fillId="5" borderId="53" xfId="6" applyFont="1" applyFill="1" applyBorder="1" applyAlignment="1" applyProtection="1">
      <alignment horizontal="centerContinuous"/>
      <protection locked="0"/>
    </xf>
    <xf numFmtId="0" fontId="10" fillId="5" borderId="26" xfId="6" applyFont="1" applyFill="1" applyBorder="1" applyAlignment="1" applyProtection="1">
      <alignment horizontal="left" vertical="center"/>
      <protection locked="0"/>
    </xf>
    <xf numFmtId="0" fontId="8" fillId="5" borderId="26" xfId="6" applyFont="1" applyFill="1" applyBorder="1" applyAlignment="1" applyProtection="1">
      <alignment horizontal="center"/>
      <protection locked="0"/>
    </xf>
    <xf numFmtId="0" fontId="8" fillId="5" borderId="54" xfId="6" applyFont="1" applyFill="1" applyBorder="1" applyAlignment="1" applyProtection="1">
      <alignment horizontal="center"/>
      <protection locked="0"/>
    </xf>
    <xf numFmtId="0" fontId="8" fillId="12" borderId="4" xfId="6" applyFont="1" applyFill="1" applyBorder="1" applyProtection="1">
      <protection locked="0"/>
    </xf>
    <xf numFmtId="0" fontId="8" fillId="17" borderId="3" xfId="6" applyFont="1" applyFill="1" applyBorder="1" applyAlignment="1" applyProtection="1">
      <alignment vertical="top"/>
      <protection locked="0"/>
    </xf>
    <xf numFmtId="0" fontId="15" fillId="12" borderId="0" xfId="8" applyFont="1" applyFill="1" applyProtection="1">
      <protection locked="0"/>
    </xf>
    <xf numFmtId="0" fontId="8" fillId="0" borderId="0" xfId="6" applyFont="1" applyAlignment="1" applyProtection="1">
      <alignment vertical="top"/>
      <protection locked="0"/>
    </xf>
    <xf numFmtId="0" fontId="8" fillId="18" borderId="49" xfId="6" applyFont="1" applyFill="1" applyBorder="1" applyAlignment="1" applyProtection="1">
      <alignment vertical="top"/>
      <protection locked="0"/>
    </xf>
    <xf numFmtId="0" fontId="8" fillId="18" borderId="66" xfId="6" applyFont="1" applyFill="1" applyBorder="1" applyAlignment="1" applyProtection="1">
      <alignment vertical="top"/>
      <protection locked="0"/>
    </xf>
    <xf numFmtId="0" fontId="8" fillId="18" borderId="36" xfId="6" applyFont="1" applyFill="1" applyBorder="1" applyAlignment="1" applyProtection="1">
      <alignment horizontal="center" vertical="top"/>
      <protection locked="0"/>
    </xf>
    <xf numFmtId="0" fontId="8" fillId="18" borderId="37" xfId="6" applyFont="1" applyFill="1" applyBorder="1" applyAlignment="1" applyProtection="1">
      <alignment horizontal="left" vertical="top"/>
      <protection locked="0"/>
    </xf>
    <xf numFmtId="0" fontId="8" fillId="18" borderId="39" xfId="6" applyFont="1" applyFill="1" applyBorder="1" applyAlignment="1" applyProtection="1">
      <alignment horizontal="center" vertical="top"/>
      <protection locked="0"/>
    </xf>
    <xf numFmtId="0" fontId="8" fillId="18" borderId="0" xfId="6" applyFont="1" applyFill="1" applyBorder="1" applyAlignment="1" applyProtection="1">
      <alignment horizontal="center" vertical="top"/>
      <protection locked="0"/>
    </xf>
    <xf numFmtId="0" fontId="8" fillId="18" borderId="40" xfId="6" applyFont="1" applyFill="1" applyBorder="1" applyAlignment="1" applyProtection="1">
      <alignment horizontal="center" vertical="top"/>
      <protection locked="0"/>
    </xf>
    <xf numFmtId="0" fontId="8" fillId="0" borderId="0" xfId="6" applyFont="1" applyAlignment="1" applyProtection="1">
      <alignment horizontal="center"/>
      <protection locked="0"/>
    </xf>
    <xf numFmtId="0" fontId="10" fillId="0" borderId="53" xfId="6" applyFont="1" applyBorder="1" applyAlignment="1" applyProtection="1">
      <alignment horizontal="center"/>
      <protection locked="0"/>
    </xf>
    <xf numFmtId="0" fontId="10" fillId="0" borderId="54" xfId="6" applyFont="1" applyBorder="1" applyAlignment="1" applyProtection="1">
      <alignment horizontal="center" vertical="center"/>
      <protection locked="0"/>
    </xf>
    <xf numFmtId="0" fontId="8" fillId="18" borderId="79" xfId="6" applyFont="1" applyFill="1" applyBorder="1" applyAlignment="1" applyProtection="1">
      <alignment horizontal="center"/>
      <protection locked="0"/>
    </xf>
    <xf numFmtId="0" fontId="7" fillId="18" borderId="41" xfId="6" applyFont="1" applyFill="1" applyBorder="1" applyAlignment="1" applyProtection="1">
      <alignment horizontal="center" wrapText="1"/>
      <protection locked="0"/>
    </xf>
    <xf numFmtId="0" fontId="8" fillId="18" borderId="12" xfId="6" applyFont="1" applyFill="1" applyBorder="1" applyAlignment="1" applyProtection="1">
      <alignment horizontal="center"/>
      <protection locked="0"/>
    </xf>
    <xf numFmtId="0" fontId="8" fillId="18" borderId="101" xfId="6" applyFont="1" applyFill="1" applyBorder="1" applyAlignment="1" applyProtection="1">
      <alignment horizontal="center"/>
      <protection locked="0"/>
    </xf>
    <xf numFmtId="0" fontId="8" fillId="18" borderId="43" xfId="6" applyFont="1" applyFill="1" applyBorder="1" applyAlignment="1" applyProtection="1">
      <alignment horizontal="center"/>
      <protection locked="0"/>
    </xf>
    <xf numFmtId="0" fontId="8" fillId="17" borderId="52" xfId="6" applyFont="1" applyFill="1" applyBorder="1" applyAlignment="1" applyProtection="1">
      <alignment horizontal="center"/>
      <protection locked="0"/>
    </xf>
    <xf numFmtId="0" fontId="8" fillId="18" borderId="19" xfId="6" applyFont="1" applyFill="1" applyBorder="1" applyAlignment="1" applyProtection="1">
      <alignment horizontal="center"/>
      <protection locked="0"/>
    </xf>
    <xf numFmtId="0" fontId="8" fillId="18" borderId="62" xfId="6" applyFont="1" applyFill="1" applyBorder="1" applyAlignment="1" applyProtection="1">
      <alignment horizontal="center"/>
      <protection locked="0"/>
    </xf>
    <xf numFmtId="0" fontId="8" fillId="18" borderId="107" xfId="6" applyFont="1" applyFill="1" applyBorder="1" applyAlignment="1" applyProtection="1">
      <alignment horizontal="center"/>
      <protection locked="0"/>
    </xf>
    <xf numFmtId="0" fontId="8" fillId="17" borderId="0" xfId="6" applyFont="1" applyFill="1" applyAlignment="1" applyProtection="1">
      <alignment horizontal="left"/>
      <protection locked="0"/>
    </xf>
    <xf numFmtId="0" fontId="8" fillId="17" borderId="0" xfId="6" applyFont="1" applyFill="1" applyBorder="1" applyAlignment="1" applyProtection="1">
      <alignment horizontal="center"/>
      <protection locked="0"/>
    </xf>
    <xf numFmtId="0" fontId="47" fillId="17" borderId="0" xfId="6" applyFont="1" applyFill="1" applyBorder="1" applyAlignment="1" applyProtection="1">
      <alignment horizontal="center"/>
      <protection locked="0"/>
    </xf>
    <xf numFmtId="0" fontId="8" fillId="18" borderId="55" xfId="6" applyFont="1" applyFill="1" applyBorder="1" applyAlignment="1" applyProtection="1">
      <alignment horizontal="center"/>
      <protection locked="0"/>
    </xf>
    <xf numFmtId="0" fontId="8" fillId="18" borderId="44" xfId="6" applyFont="1" applyFill="1" applyBorder="1" applyAlignment="1" applyProtection="1">
      <alignment horizontal="center"/>
      <protection locked="0"/>
    </xf>
    <xf numFmtId="0" fontId="8" fillId="18" borderId="102" xfId="6" applyFont="1" applyFill="1" applyBorder="1" applyAlignment="1" applyProtection="1">
      <alignment horizontal="center"/>
      <protection locked="0"/>
    </xf>
    <xf numFmtId="0" fontId="8" fillId="18" borderId="26" xfId="6" applyFont="1" applyFill="1" applyBorder="1" applyAlignment="1" applyProtection="1">
      <alignment horizontal="center"/>
      <protection locked="0"/>
    </xf>
    <xf numFmtId="0" fontId="8" fillId="18" borderId="54" xfId="6" applyFont="1" applyFill="1" applyBorder="1" applyAlignment="1" applyProtection="1">
      <alignment horizontal="center"/>
      <protection locked="0"/>
    </xf>
    <xf numFmtId="0" fontId="8" fillId="18" borderId="94" xfId="6" applyFont="1" applyFill="1" applyBorder="1" applyAlignment="1" applyProtection="1">
      <alignment horizontal="center" vertical="center"/>
      <protection locked="0"/>
    </xf>
    <xf numFmtId="0" fontId="8" fillId="18" borderId="90" xfId="6" applyFont="1" applyFill="1" applyBorder="1" applyAlignment="1" applyProtection="1">
      <alignment horizontal="center" vertical="center"/>
      <protection locked="0"/>
    </xf>
    <xf numFmtId="0" fontId="8" fillId="18" borderId="108" xfId="6" applyFont="1" applyFill="1" applyBorder="1" applyAlignment="1" applyProtection="1">
      <alignment horizontal="center" vertical="center"/>
      <protection locked="0"/>
    </xf>
    <xf numFmtId="0" fontId="10" fillId="17" borderId="7" xfId="6" applyFont="1" applyFill="1" applyBorder="1" applyAlignment="1" applyProtection="1">
      <alignment horizontal="center"/>
      <protection locked="0"/>
    </xf>
    <xf numFmtId="165" fontId="8" fillId="17" borderId="0" xfId="6" applyNumberFormat="1" applyFont="1" applyFill="1" applyAlignment="1" applyProtection="1">
      <alignment horizontal="center"/>
      <protection locked="0"/>
    </xf>
    <xf numFmtId="0" fontId="7" fillId="18" borderId="64" xfId="6" applyFont="1" applyFill="1" applyBorder="1" applyAlignment="1" applyProtection="1">
      <alignment horizontal="center" vertical="center" wrapText="1"/>
      <protection locked="0"/>
    </xf>
    <xf numFmtId="0" fontId="7" fillId="18" borderId="15" xfId="6" applyFont="1" applyFill="1" applyBorder="1" applyAlignment="1" applyProtection="1">
      <alignment horizontal="center" vertical="center"/>
      <protection locked="0"/>
    </xf>
    <xf numFmtId="0" fontId="7" fillId="18" borderId="109" xfId="6" applyFont="1" applyFill="1" applyBorder="1" applyAlignment="1" applyProtection="1">
      <alignment horizontal="center" vertical="center"/>
      <protection locked="0"/>
    </xf>
    <xf numFmtId="0" fontId="8" fillId="17" borderId="3" xfId="6" applyFont="1" applyFill="1" applyBorder="1" applyAlignment="1" applyProtection="1">
      <alignment horizontal="left"/>
      <protection locked="0"/>
    </xf>
    <xf numFmtId="0" fontId="43" fillId="17" borderId="0" xfId="6" applyFont="1" applyFill="1" applyAlignment="1" applyProtection="1">
      <alignment horizontal="center" vertical="top"/>
      <protection locked="0"/>
    </xf>
    <xf numFmtId="0" fontId="11" fillId="17" borderId="0" xfId="7" applyFont="1" applyFill="1" applyProtection="1">
      <protection locked="0"/>
    </xf>
    <xf numFmtId="0" fontId="8" fillId="17" borderId="0" xfId="6" applyFont="1" applyFill="1" applyAlignment="1" applyProtection="1">
      <alignment horizontal="center" wrapText="1"/>
      <protection locked="0"/>
    </xf>
    <xf numFmtId="0" fontId="16" fillId="17" borderId="0" xfId="6" applyFont="1" applyFill="1" applyBorder="1" applyAlignment="1" applyProtection="1">
      <alignment horizontal="right" vertical="center" wrapText="1"/>
      <protection locked="0"/>
    </xf>
    <xf numFmtId="0" fontId="38" fillId="17" borderId="0" xfId="6" applyNumberFormat="1" applyFont="1" applyFill="1" applyAlignment="1" applyProtection="1">
      <alignment horizontal="right"/>
      <protection locked="0"/>
    </xf>
    <xf numFmtId="0" fontId="38" fillId="17" borderId="0" xfId="6" applyNumberFormat="1" applyFont="1" applyFill="1" applyAlignment="1" applyProtection="1">
      <alignment horizontal="left"/>
      <protection locked="0"/>
    </xf>
    <xf numFmtId="167" fontId="8" fillId="17" borderId="0" xfId="6" applyNumberFormat="1" applyFont="1" applyFill="1" applyAlignment="1" applyProtection="1">
      <alignment horizontal="left"/>
      <protection locked="0"/>
    </xf>
    <xf numFmtId="0" fontId="10" fillId="17" borderId="7" xfId="6" applyFont="1" applyFill="1" applyBorder="1" applyAlignment="1" applyProtection="1">
      <alignment horizontal="left"/>
      <protection locked="0"/>
    </xf>
    <xf numFmtId="0" fontId="47" fillId="17" borderId="0" xfId="6" applyFont="1" applyFill="1" applyProtection="1">
      <protection locked="0"/>
    </xf>
    <xf numFmtId="0" fontId="8" fillId="17" borderId="0" xfId="6" applyFont="1" applyFill="1" applyAlignment="1" applyProtection="1">
      <alignment horizontal="center" vertical="center" wrapText="1"/>
      <protection locked="0"/>
    </xf>
    <xf numFmtId="0" fontId="8" fillId="17" borderId="0" xfId="6" applyFont="1" applyFill="1" applyAlignment="1" applyProtection="1">
      <protection locked="0"/>
    </xf>
    <xf numFmtId="0" fontId="7" fillId="17" borderId="0" xfId="6" applyFont="1" applyFill="1" applyAlignment="1" applyProtection="1">
      <alignment vertical="top"/>
      <protection locked="0"/>
    </xf>
    <xf numFmtId="0" fontId="7" fillId="17" borderId="52" xfId="6" applyFont="1" applyFill="1" applyBorder="1" applyAlignment="1" applyProtection="1">
      <alignment vertical="top"/>
      <protection locked="0"/>
    </xf>
    <xf numFmtId="0" fontId="7" fillId="17" borderId="0" xfId="6" applyFont="1" applyFill="1" applyBorder="1" applyAlignment="1" applyProtection="1">
      <alignment horizontal="right" vertical="top"/>
      <protection locked="0"/>
    </xf>
    <xf numFmtId="0" fontId="8" fillId="17" borderId="7" xfId="6" applyFont="1" applyFill="1" applyBorder="1" applyAlignment="1" applyProtection="1">
      <alignment horizontal="centerContinuous"/>
      <protection locked="0"/>
    </xf>
    <xf numFmtId="169" fontId="8" fillId="17" borderId="3" xfId="6" applyNumberFormat="1" applyFont="1" applyFill="1" applyBorder="1" applyAlignment="1" applyProtection="1">
      <alignment horizontal="center"/>
      <protection locked="0"/>
    </xf>
    <xf numFmtId="165" fontId="8" fillId="18" borderId="25" xfId="6" applyNumberFormat="1" applyFont="1" applyFill="1" applyBorder="1" applyAlignment="1" applyProtection="1">
      <alignment horizontal="center" vertical="center"/>
      <protection locked="0"/>
    </xf>
    <xf numFmtId="0" fontId="8" fillId="17" borderId="4" xfId="6" applyFont="1" applyFill="1" applyBorder="1" applyProtection="1">
      <protection locked="0"/>
    </xf>
    <xf numFmtId="0" fontId="8" fillId="17" borderId="0" xfId="6" applyFont="1" applyFill="1" applyBorder="1" applyProtection="1">
      <protection locked="0"/>
    </xf>
    <xf numFmtId="0" fontId="8" fillId="18" borderId="72" xfId="6" applyFont="1" applyFill="1" applyBorder="1" applyAlignment="1" applyProtection="1">
      <alignment horizontal="center" vertical="center"/>
      <protection locked="0"/>
    </xf>
    <xf numFmtId="0" fontId="8" fillId="2" borderId="0" xfId="6" applyFont="1" applyFill="1" applyAlignment="1" applyProtection="1">
      <alignment horizontal="center" vertical="center"/>
      <protection locked="0"/>
    </xf>
    <xf numFmtId="0" fontId="8" fillId="18" borderId="55" xfId="6" applyFont="1" applyFill="1" applyBorder="1" applyAlignment="1" applyProtection="1">
      <alignment horizontal="center" vertical="center"/>
      <protection locked="0"/>
    </xf>
    <xf numFmtId="165" fontId="8" fillId="17" borderId="0" xfId="6" applyNumberFormat="1" applyFont="1" applyFill="1" applyAlignment="1" applyProtection="1">
      <alignment horizontal="center" vertical="center"/>
      <protection locked="0"/>
    </xf>
    <xf numFmtId="1" fontId="8" fillId="17" borderId="0" xfId="6" applyNumberFormat="1" applyFont="1" applyFill="1" applyBorder="1" applyAlignment="1" applyProtection="1">
      <alignment horizontal="center" vertical="center"/>
      <protection locked="0"/>
    </xf>
    <xf numFmtId="1" fontId="8" fillId="17" borderId="66" xfId="6" applyNumberFormat="1" applyFont="1" applyFill="1" applyBorder="1" applyAlignment="1" applyProtection="1">
      <alignment horizontal="center" vertical="center"/>
      <protection locked="0"/>
    </xf>
    <xf numFmtId="0" fontId="8" fillId="12" borderId="26" xfId="6" applyFont="1" applyFill="1" applyBorder="1" applyAlignment="1" applyProtection="1">
      <alignment horizontal="center"/>
      <protection locked="0"/>
    </xf>
    <xf numFmtId="0" fontId="0" fillId="0" borderId="0" xfId="0" applyBorder="1" applyProtection="1">
      <protection locked="0"/>
    </xf>
    <xf numFmtId="0" fontId="0" fillId="0" borderId="26" xfId="0" applyBorder="1" applyProtection="1">
      <protection locked="0"/>
    </xf>
    <xf numFmtId="1" fontId="10" fillId="17" borderId="7" xfId="6" applyNumberFormat="1" applyFont="1" applyFill="1" applyBorder="1" applyAlignment="1" applyProtection="1">
      <alignment horizontal="center"/>
      <protection locked="0"/>
    </xf>
    <xf numFmtId="170" fontId="10" fillId="17" borderId="7" xfId="6" applyNumberFormat="1" applyFont="1" applyFill="1" applyBorder="1" applyAlignment="1" applyProtection="1">
      <alignment horizontal="center" vertical="top"/>
      <protection locked="0"/>
    </xf>
    <xf numFmtId="0" fontId="8" fillId="18" borderId="48" xfId="6" applyFont="1" applyFill="1" applyBorder="1" applyAlignment="1" applyProtection="1">
      <alignment horizontal="center" vertical="center"/>
      <protection locked="0"/>
    </xf>
    <xf numFmtId="2" fontId="8" fillId="18" borderId="48" xfId="6" applyNumberFormat="1" applyFont="1" applyFill="1" applyBorder="1" applyAlignment="1" applyProtection="1">
      <alignment horizontal="center" vertical="center"/>
      <protection locked="0"/>
    </xf>
    <xf numFmtId="167" fontId="8" fillId="17" borderId="0" xfId="6" applyNumberFormat="1" applyFont="1" applyFill="1" applyAlignment="1" applyProtection="1">
      <alignment horizontal="left" vertical="center"/>
      <protection locked="0"/>
    </xf>
    <xf numFmtId="0" fontId="39" fillId="17" borderId="0" xfId="6" applyNumberFormat="1" applyFont="1" applyFill="1" applyAlignment="1" applyProtection="1">
      <alignment vertical="center"/>
      <protection locked="0"/>
    </xf>
    <xf numFmtId="0" fontId="10" fillId="17" borderId="0" xfId="6" applyFont="1" applyFill="1" applyAlignment="1" applyProtection="1">
      <alignment horizontal="left" vertical="center"/>
      <protection locked="0"/>
    </xf>
    <xf numFmtId="168" fontId="8" fillId="17" borderId="3" xfId="6" applyNumberFormat="1" applyFont="1" applyFill="1" applyBorder="1" applyAlignment="1" applyProtection="1">
      <alignment horizontal="center" vertical="top"/>
      <protection locked="0"/>
    </xf>
    <xf numFmtId="9" fontId="10" fillId="17" borderId="0" xfId="2" applyFont="1" applyFill="1" applyBorder="1" applyAlignment="1" applyProtection="1">
      <alignment horizontal="left" vertical="center"/>
      <protection locked="0"/>
    </xf>
    <xf numFmtId="9" fontId="10" fillId="17" borderId="0" xfId="2" applyFont="1" applyFill="1" applyBorder="1" applyAlignment="1" applyProtection="1">
      <alignment horizontal="center" vertical="center"/>
      <protection locked="0"/>
    </xf>
    <xf numFmtId="168" fontId="10" fillId="17" borderId="7" xfId="6" applyNumberFormat="1" applyFont="1" applyFill="1" applyBorder="1" applyAlignment="1" applyProtection="1">
      <alignment horizontal="center" vertical="top"/>
      <protection locked="0"/>
    </xf>
    <xf numFmtId="9" fontId="10" fillId="12" borderId="0" xfId="2" applyFont="1" applyFill="1" applyBorder="1" applyAlignment="1" applyProtection="1">
      <alignment horizontal="left" vertical="center"/>
      <protection locked="0"/>
    </xf>
    <xf numFmtId="170" fontId="8" fillId="17" borderId="0" xfId="6" applyNumberFormat="1" applyFont="1" applyFill="1" applyAlignment="1" applyProtection="1">
      <alignment vertical="center"/>
      <protection locked="0"/>
    </xf>
    <xf numFmtId="165" fontId="10" fillId="17" borderId="0" xfId="6" applyNumberFormat="1" applyFont="1" applyFill="1" applyAlignment="1" applyProtection="1">
      <alignment horizontal="center" vertical="center"/>
      <protection locked="0"/>
    </xf>
    <xf numFmtId="0" fontId="10" fillId="17" borderId="114" xfId="6" applyFont="1" applyFill="1" applyBorder="1" applyAlignment="1" applyProtection="1">
      <alignment horizontal="left" vertical="center"/>
      <protection locked="0"/>
    </xf>
    <xf numFmtId="168" fontId="8" fillId="17" borderId="28" xfId="6" applyNumberFormat="1" applyFont="1" applyFill="1" applyBorder="1" applyAlignment="1" applyProtection="1">
      <alignment horizontal="center" vertical="top"/>
      <protection locked="0"/>
    </xf>
    <xf numFmtId="0" fontId="23" fillId="17" borderId="56" xfId="6" applyFont="1" applyFill="1" applyBorder="1" applyProtection="1">
      <protection locked="0"/>
    </xf>
    <xf numFmtId="0" fontId="8" fillId="17" borderId="56" xfId="6" applyFont="1" applyFill="1" applyBorder="1" applyProtection="1">
      <protection locked="0"/>
    </xf>
    <xf numFmtId="0" fontId="8" fillId="17" borderId="92" xfId="6" applyFont="1" applyFill="1" applyBorder="1" applyAlignment="1" applyProtection="1">
      <alignment horizontal="center" vertical="center"/>
      <protection locked="0"/>
    </xf>
    <xf numFmtId="0" fontId="13" fillId="17" borderId="56" xfId="6" applyFont="1" applyFill="1" applyBorder="1" applyProtection="1">
      <protection locked="0"/>
    </xf>
    <xf numFmtId="0" fontId="13" fillId="17" borderId="92" xfId="6" applyFont="1" applyFill="1" applyBorder="1" applyProtection="1">
      <protection locked="0"/>
    </xf>
    <xf numFmtId="0" fontId="13" fillId="17" borderId="99" xfId="6" applyFont="1" applyFill="1" applyBorder="1" applyProtection="1">
      <protection locked="0"/>
    </xf>
    <xf numFmtId="0" fontId="8" fillId="17" borderId="56" xfId="6" applyFont="1" applyFill="1" applyBorder="1" applyAlignment="1" applyProtection="1">
      <alignment horizontal="center"/>
      <protection locked="0"/>
    </xf>
    <xf numFmtId="0" fontId="8" fillId="17" borderId="92" xfId="6" applyFont="1" applyFill="1" applyBorder="1" applyAlignment="1" applyProtection="1">
      <alignment horizontal="center"/>
      <protection locked="0"/>
    </xf>
    <xf numFmtId="164" fontId="8" fillId="17" borderId="56" xfId="1" applyFont="1" applyFill="1" applyBorder="1" applyAlignment="1" applyProtection="1">
      <alignment horizontal="center"/>
      <protection locked="0"/>
    </xf>
    <xf numFmtId="0" fontId="10" fillId="17" borderId="56" xfId="0" applyFont="1" applyFill="1" applyBorder="1" applyAlignment="1" applyProtection="1">
      <alignment horizontal="center" vertical="center"/>
      <protection locked="0"/>
    </xf>
    <xf numFmtId="0" fontId="10" fillId="17" borderId="56" xfId="0" applyFont="1" applyFill="1" applyBorder="1" applyAlignment="1" applyProtection="1">
      <alignment horizontal="left" vertical="center"/>
      <protection locked="0"/>
    </xf>
    <xf numFmtId="168" fontId="8" fillId="17" borderId="56" xfId="6" applyNumberFormat="1" applyFont="1" applyFill="1" applyBorder="1" applyAlignment="1" applyProtection="1">
      <alignment horizontal="center" vertical="top"/>
      <protection locked="0"/>
    </xf>
    <xf numFmtId="0" fontId="10" fillId="17" borderId="56" xfId="6" applyFont="1" applyFill="1" applyBorder="1" applyAlignment="1" applyProtection="1">
      <alignment horizontal="left"/>
      <protection locked="0"/>
    </xf>
    <xf numFmtId="0" fontId="10" fillId="17" borderId="99" xfId="6" applyFont="1" applyFill="1" applyBorder="1" applyAlignment="1" applyProtection="1">
      <alignment horizontal="left"/>
      <protection locked="0"/>
    </xf>
    <xf numFmtId="168" fontId="10" fillId="17" borderId="59" xfId="6" applyNumberFormat="1" applyFont="1" applyFill="1" applyBorder="1" applyAlignment="1" applyProtection="1">
      <alignment horizontal="center" vertical="top"/>
      <protection locked="0"/>
    </xf>
    <xf numFmtId="0" fontId="2" fillId="0" borderId="0" xfId="5" applyFill="1" applyProtection="1"/>
    <xf numFmtId="0" fontId="8" fillId="0" borderId="0" xfId="5" applyFont="1" applyFill="1" applyAlignment="1" applyProtection="1">
      <alignment vertical="center"/>
    </xf>
    <xf numFmtId="0" fontId="8" fillId="13" borderId="3" xfId="5" applyFont="1" applyFill="1" applyBorder="1" applyAlignment="1" applyProtection="1">
      <alignment vertical="center"/>
    </xf>
    <xf numFmtId="0" fontId="10" fillId="13" borderId="9" xfId="5" applyFont="1" applyFill="1" applyBorder="1" applyAlignment="1" applyProtection="1">
      <alignment horizontal="center" vertical="center"/>
    </xf>
    <xf numFmtId="0" fontId="10" fillId="13" borderId="0" xfId="5" applyFont="1" applyFill="1" applyBorder="1" applyAlignment="1" applyProtection="1">
      <alignment horizontal="center" vertical="center"/>
    </xf>
    <xf numFmtId="0" fontId="10" fillId="13" borderId="27" xfId="5" applyFont="1" applyFill="1" applyBorder="1" applyAlignment="1" applyProtection="1">
      <alignment horizontal="center" vertical="center"/>
    </xf>
    <xf numFmtId="0" fontId="8" fillId="13" borderId="0" xfId="5" applyFont="1" applyFill="1" applyAlignment="1" applyProtection="1">
      <alignment horizontal="center" vertical="center"/>
    </xf>
    <xf numFmtId="0" fontId="8" fillId="13" borderId="10" xfId="5" applyFont="1" applyFill="1" applyBorder="1" applyAlignment="1" applyProtection="1">
      <alignment vertical="center"/>
    </xf>
    <xf numFmtId="0" fontId="8" fillId="10" borderId="0" xfId="5" applyFont="1" applyFill="1" applyBorder="1" applyAlignment="1" applyProtection="1">
      <alignment horizontal="center" vertical="center"/>
    </xf>
    <xf numFmtId="49" fontId="8" fillId="10" borderId="9" xfId="5" applyNumberFormat="1" applyFont="1" applyFill="1" applyBorder="1" applyAlignment="1" applyProtection="1">
      <alignment horizontal="center" vertical="center"/>
    </xf>
    <xf numFmtId="49" fontId="8" fillId="10" borderId="27" xfId="5" applyNumberFormat="1" applyFont="1" applyFill="1" applyBorder="1" applyAlignment="1" applyProtection="1">
      <alignment vertical="center"/>
    </xf>
    <xf numFmtId="49" fontId="8" fillId="10" borderId="8" xfId="5" applyNumberFormat="1" applyFont="1" applyFill="1" applyBorder="1" applyAlignment="1" applyProtection="1">
      <alignment vertical="center"/>
    </xf>
    <xf numFmtId="49" fontId="24" fillId="13" borderId="3" xfId="5" applyNumberFormat="1" applyFont="1" applyFill="1" applyBorder="1" applyAlignment="1" applyProtection="1">
      <alignment vertical="center"/>
    </xf>
    <xf numFmtId="49" fontId="25" fillId="13" borderId="0" xfId="5" applyNumberFormat="1" applyFont="1" applyFill="1" applyAlignment="1" applyProtection="1">
      <alignment vertical="center"/>
    </xf>
    <xf numFmtId="167" fontId="8" fillId="13" borderId="9" xfId="5" applyNumberFormat="1" applyFont="1" applyFill="1" applyBorder="1" applyAlignment="1" applyProtection="1">
      <alignment horizontal="center" vertical="center"/>
    </xf>
    <xf numFmtId="167" fontId="8" fillId="13" borderId="0" xfId="5" applyNumberFormat="1" applyFont="1" applyFill="1" applyAlignment="1" applyProtection="1">
      <alignment horizontal="center" vertical="center"/>
    </xf>
    <xf numFmtId="167" fontId="8" fillId="13" borderId="0" xfId="5" applyNumberFormat="1" applyFont="1" applyFill="1" applyBorder="1" applyAlignment="1" applyProtection="1">
      <alignment horizontal="center" vertical="center"/>
    </xf>
    <xf numFmtId="167" fontId="8" fillId="13" borderId="0" xfId="5" applyNumberFormat="1" applyFont="1" applyFill="1" applyAlignment="1" applyProtection="1">
      <alignment vertical="center"/>
    </xf>
    <xf numFmtId="167" fontId="8" fillId="13" borderId="0" xfId="5" applyNumberFormat="1" applyFont="1" applyFill="1" applyBorder="1" applyAlignment="1" applyProtection="1">
      <alignment vertical="center"/>
    </xf>
    <xf numFmtId="167" fontId="8" fillId="13" borderId="9" xfId="5" applyNumberFormat="1" applyFont="1" applyFill="1" applyBorder="1" applyAlignment="1" applyProtection="1">
      <alignment vertical="center"/>
    </xf>
    <xf numFmtId="167" fontId="8" fillId="13" borderId="27" xfId="5" applyNumberFormat="1" applyFont="1" applyFill="1" applyBorder="1" applyAlignment="1" applyProtection="1">
      <alignment vertical="center"/>
    </xf>
    <xf numFmtId="167" fontId="8" fillId="13" borderId="8" xfId="5" applyNumberFormat="1" applyFont="1" applyFill="1" applyBorder="1" applyAlignment="1" applyProtection="1">
      <alignment vertical="center"/>
    </xf>
    <xf numFmtId="49" fontId="24" fillId="12" borderId="3" xfId="5" applyNumberFormat="1" applyFont="1" applyFill="1" applyBorder="1" applyAlignment="1" applyProtection="1">
      <alignment vertical="center"/>
    </xf>
    <xf numFmtId="0" fontId="8" fillId="12" borderId="0" xfId="5" applyFont="1" applyFill="1" applyAlignment="1" applyProtection="1">
      <alignment vertical="center"/>
    </xf>
    <xf numFmtId="1" fontId="8" fillId="12" borderId="9" xfId="5" applyNumberFormat="1" applyFont="1" applyFill="1" applyBorder="1" applyAlignment="1" applyProtection="1">
      <alignment horizontal="center" vertical="center"/>
    </xf>
    <xf numFmtId="165" fontId="8" fillId="12" borderId="9" xfId="5" applyNumberFormat="1" applyFont="1" applyFill="1" applyBorder="1" applyAlignment="1" applyProtection="1">
      <alignment horizontal="center" vertical="center"/>
    </xf>
    <xf numFmtId="165" fontId="8" fillId="12" borderId="0" xfId="5" applyNumberFormat="1" applyFont="1" applyFill="1" applyAlignment="1" applyProtection="1">
      <alignment horizontal="center" vertical="center"/>
    </xf>
    <xf numFmtId="165" fontId="8" fillId="12" borderId="0" xfId="5" applyNumberFormat="1" applyFont="1" applyFill="1" applyBorder="1" applyAlignment="1" applyProtection="1">
      <alignment horizontal="center" vertical="center"/>
    </xf>
    <xf numFmtId="9" fontId="8" fillId="12" borderId="0" xfId="5" applyNumberFormat="1" applyFont="1" applyFill="1" applyAlignment="1" applyProtection="1">
      <alignment horizontal="center" vertical="center"/>
    </xf>
    <xf numFmtId="9" fontId="8" fillId="12" borderId="9" xfId="5" applyNumberFormat="1" applyFont="1" applyFill="1" applyBorder="1" applyAlignment="1" applyProtection="1">
      <alignment horizontal="center" vertical="center"/>
    </xf>
    <xf numFmtId="9" fontId="8" fillId="12" borderId="0" xfId="5" applyNumberFormat="1" applyFont="1" applyFill="1" applyBorder="1" applyAlignment="1" applyProtection="1">
      <alignment horizontal="center" vertical="center"/>
    </xf>
    <xf numFmtId="1" fontId="8" fillId="12" borderId="27" xfId="5" applyNumberFormat="1" applyFont="1" applyFill="1" applyBorder="1" applyAlignment="1" applyProtection="1">
      <alignment horizontal="center" vertical="center"/>
    </xf>
    <xf numFmtId="1" fontId="8" fillId="12" borderId="8" xfId="5" applyNumberFormat="1" applyFont="1" applyFill="1" applyBorder="1" applyAlignment="1" applyProtection="1">
      <alignment horizontal="center" vertical="center"/>
    </xf>
    <xf numFmtId="0" fontId="8" fillId="12" borderId="3" xfId="5" applyFont="1" applyFill="1" applyBorder="1" applyAlignment="1" applyProtection="1">
      <alignment vertical="center"/>
    </xf>
    <xf numFmtId="49" fontId="8" fillId="12" borderId="0" xfId="5" applyNumberFormat="1" applyFont="1" applyFill="1" applyAlignment="1" applyProtection="1">
      <alignment vertical="center"/>
    </xf>
    <xf numFmtId="0" fontId="8" fillId="12" borderId="0" xfId="5" applyFont="1" applyFill="1" applyAlignment="1" applyProtection="1">
      <alignment horizontal="center" vertical="center"/>
    </xf>
    <xf numFmtId="49" fontId="8" fillId="13" borderId="0" xfId="5" applyNumberFormat="1" applyFont="1" applyFill="1" applyBorder="1" applyAlignment="1" applyProtection="1">
      <alignment horizontal="center" vertical="center"/>
    </xf>
    <xf numFmtId="49" fontId="8" fillId="13" borderId="9" xfId="5" applyNumberFormat="1" applyFont="1" applyFill="1" applyBorder="1" applyAlignment="1" applyProtection="1">
      <alignment horizontal="center" vertical="center"/>
    </xf>
    <xf numFmtId="49" fontId="8" fillId="13" borderId="27" xfId="5" applyNumberFormat="1" applyFont="1" applyFill="1" applyBorder="1" applyAlignment="1" applyProtection="1">
      <alignment horizontal="center" vertical="center"/>
    </xf>
    <xf numFmtId="49" fontId="8" fillId="13" borderId="8" xfId="5" applyNumberFormat="1" applyFont="1" applyFill="1" applyBorder="1" applyAlignment="1" applyProtection="1">
      <alignment horizontal="center" vertical="center"/>
    </xf>
    <xf numFmtId="10" fontId="8" fillId="12" borderId="0" xfId="5" applyNumberFormat="1" applyFont="1" applyFill="1" applyAlignment="1" applyProtection="1">
      <alignment horizontal="center" vertical="center"/>
    </xf>
    <xf numFmtId="1" fontId="8" fillId="12" borderId="0" xfId="5" applyNumberFormat="1" applyFont="1" applyFill="1" applyBorder="1" applyAlignment="1" applyProtection="1">
      <alignment horizontal="center" vertical="center"/>
    </xf>
    <xf numFmtId="1" fontId="8" fillId="0" borderId="0" xfId="5" applyNumberFormat="1" applyFont="1" applyFill="1" applyAlignment="1" applyProtection="1">
      <alignment horizontal="center" vertical="center"/>
    </xf>
    <xf numFmtId="167" fontId="8" fillId="12" borderId="13" xfId="5" applyNumberFormat="1" applyFont="1" applyFill="1" applyBorder="1" applyAlignment="1" applyProtection="1">
      <alignment horizontal="center" vertical="center"/>
    </xf>
    <xf numFmtId="167" fontId="8" fillId="12" borderId="12" xfId="5" applyNumberFormat="1" applyFont="1" applyFill="1" applyBorder="1" applyAlignment="1" applyProtection="1">
      <alignment horizontal="center" vertical="center"/>
    </xf>
    <xf numFmtId="1" fontId="8" fillId="17" borderId="12" xfId="5" applyNumberFormat="1" applyFont="1" applyFill="1" applyBorder="1" applyAlignment="1" applyProtection="1">
      <alignment horizontal="center" vertical="center"/>
    </xf>
    <xf numFmtId="1" fontId="8" fillId="17" borderId="13" xfId="5" applyNumberFormat="1" applyFont="1" applyFill="1" applyBorder="1" applyAlignment="1" applyProtection="1">
      <alignment horizontal="center" vertical="center"/>
    </xf>
    <xf numFmtId="167" fontId="8" fillId="12" borderId="0" xfId="5" applyNumberFormat="1" applyFont="1" applyFill="1" applyBorder="1" applyAlignment="1" applyProtection="1">
      <alignment horizontal="center" vertical="center"/>
    </xf>
    <xf numFmtId="1" fontId="8" fillId="12" borderId="13" xfId="5" applyNumberFormat="1" applyFont="1" applyFill="1" applyBorder="1" applyAlignment="1" applyProtection="1">
      <alignment horizontal="center" vertical="center"/>
    </xf>
    <xf numFmtId="1" fontId="8" fillId="12" borderId="12" xfId="5" applyNumberFormat="1" applyFont="1" applyFill="1" applyBorder="1" applyAlignment="1" applyProtection="1">
      <alignment horizontal="center" vertical="center"/>
    </xf>
    <xf numFmtId="167" fontId="8" fillId="12" borderId="12" xfId="5" applyNumberFormat="1" applyFont="1" applyFill="1" applyBorder="1" applyAlignment="1" applyProtection="1">
      <alignment vertical="center"/>
    </xf>
    <xf numFmtId="167" fontId="8" fillId="12" borderId="9" xfId="5" applyNumberFormat="1" applyFont="1" applyFill="1" applyBorder="1" applyAlignment="1" applyProtection="1">
      <alignment vertical="center"/>
    </xf>
    <xf numFmtId="167" fontId="8" fillId="12" borderId="0" xfId="5" applyNumberFormat="1" applyFont="1" applyFill="1" applyBorder="1" applyAlignment="1" applyProtection="1">
      <alignment vertical="center"/>
    </xf>
    <xf numFmtId="49" fontId="8" fillId="12" borderId="0" xfId="5" applyNumberFormat="1" applyFont="1" applyFill="1" applyBorder="1" applyAlignment="1" applyProtection="1">
      <alignment vertical="center"/>
    </xf>
    <xf numFmtId="167" fontId="8" fillId="12" borderId="9" xfId="5" applyNumberFormat="1" applyFont="1" applyFill="1" applyBorder="1" applyAlignment="1" applyProtection="1">
      <alignment horizontal="center" vertical="center"/>
    </xf>
    <xf numFmtId="49" fontId="8" fillId="13" borderId="99" xfId="5" applyNumberFormat="1" applyFont="1" applyFill="1" applyBorder="1" applyAlignment="1" applyProtection="1">
      <alignment vertical="center"/>
    </xf>
    <xf numFmtId="49" fontId="8" fillId="13" borderId="99" xfId="5" applyNumberFormat="1" applyFont="1" applyFill="1" applyBorder="1" applyAlignment="1" applyProtection="1">
      <alignment horizontal="center" vertical="center"/>
    </xf>
    <xf numFmtId="49" fontId="8" fillId="13" borderId="103" xfId="5" applyNumberFormat="1" applyFont="1" applyFill="1" applyBorder="1" applyAlignment="1" applyProtection="1">
      <alignment horizontal="center" vertical="center"/>
    </xf>
    <xf numFmtId="0" fontId="8" fillId="13" borderId="103" xfId="5" applyFont="1" applyFill="1" applyBorder="1" applyAlignment="1" applyProtection="1">
      <alignment horizontal="left" vertical="center"/>
    </xf>
    <xf numFmtId="0" fontId="8" fillId="13" borderId="99" xfId="5" applyFont="1" applyFill="1" applyBorder="1" applyAlignment="1" applyProtection="1">
      <alignment horizontal="left" vertical="center"/>
    </xf>
    <xf numFmtId="49" fontId="8" fillId="13" borderId="104" xfId="5" applyNumberFormat="1" applyFont="1" applyFill="1" applyBorder="1" applyAlignment="1" applyProtection="1">
      <alignment horizontal="center" vertical="center"/>
    </xf>
    <xf numFmtId="49" fontId="8" fillId="13" borderId="100" xfId="5" applyNumberFormat="1" applyFont="1" applyFill="1" applyBorder="1" applyAlignment="1" applyProtection="1">
      <alignment horizontal="center" vertical="center"/>
    </xf>
    <xf numFmtId="0" fontId="8" fillId="0" borderId="99" xfId="5" applyFont="1" applyFill="1" applyBorder="1" applyAlignment="1" applyProtection="1">
      <alignment vertical="center"/>
    </xf>
    <xf numFmtId="49" fontId="24" fillId="13" borderId="10" xfId="5" applyNumberFormat="1" applyFont="1" applyFill="1" applyBorder="1" applyAlignment="1" applyProtection="1">
      <alignment vertical="center"/>
    </xf>
    <xf numFmtId="49" fontId="25" fillId="13" borderId="12" xfId="5" applyNumberFormat="1" applyFont="1" applyFill="1" applyBorder="1" applyAlignment="1" applyProtection="1">
      <alignment vertical="center"/>
    </xf>
    <xf numFmtId="167" fontId="8" fillId="13" borderId="12" xfId="5" applyNumberFormat="1" applyFont="1" applyFill="1" applyBorder="1" applyAlignment="1" applyProtection="1">
      <alignment horizontal="center" vertical="center"/>
    </xf>
    <xf numFmtId="167" fontId="8" fillId="13" borderId="13" xfId="5" applyNumberFormat="1" applyFont="1" applyFill="1" applyBorder="1" applyAlignment="1" applyProtection="1">
      <alignment horizontal="center" vertical="center"/>
    </xf>
    <xf numFmtId="167" fontId="8" fillId="13" borderId="42" xfId="5" applyNumberFormat="1" applyFont="1" applyFill="1" applyBorder="1" applyAlignment="1" applyProtection="1">
      <alignment horizontal="center" vertical="center"/>
    </xf>
    <xf numFmtId="167" fontId="8" fillId="13" borderId="11" xfId="5" applyNumberFormat="1" applyFont="1" applyFill="1" applyBorder="1" applyAlignment="1" applyProtection="1">
      <alignment horizontal="center" vertical="center"/>
    </xf>
    <xf numFmtId="0" fontId="8" fillId="0" borderId="12" xfId="5" applyFont="1" applyFill="1" applyBorder="1" applyAlignment="1" applyProtection="1">
      <alignment vertical="center"/>
    </xf>
    <xf numFmtId="0" fontId="8" fillId="17" borderId="3" xfId="5" applyFont="1" applyFill="1" applyBorder="1" applyAlignment="1" applyProtection="1">
      <alignment vertical="center"/>
    </xf>
    <xf numFmtId="49" fontId="8" fillId="17" borderId="0" xfId="5" applyNumberFormat="1" applyFont="1" applyFill="1" applyAlignment="1" applyProtection="1">
      <alignment vertical="center"/>
    </xf>
    <xf numFmtId="0" fontId="8" fillId="17" borderId="9" xfId="5" applyFont="1" applyFill="1" applyBorder="1" applyAlignment="1" applyProtection="1">
      <alignment horizontal="left" vertical="center"/>
    </xf>
    <xf numFmtId="165" fontId="8" fillId="12" borderId="9" xfId="5" applyNumberFormat="1" applyFont="1" applyFill="1" applyBorder="1" applyAlignment="1" applyProtection="1">
      <alignment horizontal="left" vertical="center"/>
    </xf>
    <xf numFmtId="2" fontId="8" fillId="12" borderId="27" xfId="5" applyNumberFormat="1" applyFont="1" applyFill="1" applyBorder="1" applyAlignment="1" applyProtection="1">
      <alignment horizontal="left" vertical="center"/>
    </xf>
    <xf numFmtId="1" fontId="8" fillId="12" borderId="8" xfId="5" applyNumberFormat="1" applyFont="1" applyFill="1" applyBorder="1" applyAlignment="1" applyProtection="1">
      <alignment horizontal="left" vertical="center"/>
    </xf>
    <xf numFmtId="49" fontId="24" fillId="18" borderId="81" xfId="5" applyNumberFormat="1" applyFont="1" applyFill="1" applyBorder="1" applyAlignment="1" applyProtection="1">
      <alignment vertical="center"/>
    </xf>
    <xf numFmtId="1" fontId="8" fillId="18" borderId="101" xfId="5" applyNumberFormat="1" applyFont="1" applyFill="1" applyBorder="1" applyAlignment="1" applyProtection="1">
      <alignment horizontal="center" vertical="center"/>
    </xf>
    <xf numFmtId="165" fontId="8" fillId="18" borderId="101" xfId="5" applyNumberFormat="1" applyFont="1" applyFill="1" applyBorder="1" applyAlignment="1" applyProtection="1">
      <alignment horizontal="left" vertical="center"/>
    </xf>
    <xf numFmtId="165" fontId="8" fillId="18" borderId="21" xfId="5" applyNumberFormat="1" applyFont="1" applyFill="1" applyBorder="1" applyAlignment="1" applyProtection="1">
      <alignment horizontal="left" vertical="center"/>
    </xf>
    <xf numFmtId="2" fontId="8" fillId="18" borderId="94" xfId="5" applyNumberFormat="1" applyFont="1" applyFill="1" applyBorder="1" applyAlignment="1" applyProtection="1">
      <alignment horizontal="left" vertical="center"/>
    </xf>
    <xf numFmtId="1" fontId="8" fillId="18" borderId="90" xfId="5" applyNumberFormat="1" applyFont="1" applyFill="1" applyBorder="1" applyAlignment="1" applyProtection="1">
      <alignment horizontal="left" vertical="center"/>
    </xf>
    <xf numFmtId="0" fontId="8" fillId="18" borderId="101" xfId="5" applyFont="1" applyFill="1" applyBorder="1" applyAlignment="1" applyProtection="1">
      <alignment vertical="center"/>
    </xf>
    <xf numFmtId="0" fontId="8" fillId="0" borderId="101" xfId="5" applyFont="1" applyFill="1" applyBorder="1" applyAlignment="1" applyProtection="1">
      <alignment vertical="center"/>
    </xf>
    <xf numFmtId="1" fontId="8" fillId="12" borderId="0" xfId="5" applyNumberFormat="1" applyFont="1" applyFill="1" applyAlignment="1" applyProtection="1">
      <alignment horizontal="left"/>
    </xf>
    <xf numFmtId="1" fontId="8" fillId="12" borderId="0" xfId="5" applyNumberFormat="1" applyFont="1" applyFill="1" applyBorder="1" applyAlignment="1" applyProtection="1">
      <alignment horizontal="left"/>
    </xf>
    <xf numFmtId="1" fontId="8" fillId="17" borderId="0" xfId="5" applyNumberFormat="1" applyFont="1" applyFill="1" applyBorder="1" applyAlignment="1" applyProtection="1">
      <alignment horizontal="left" vertical="center"/>
    </xf>
    <xf numFmtId="0" fontId="8" fillId="11" borderId="0" xfId="5" applyFont="1" applyFill="1" applyBorder="1" applyAlignment="1" applyProtection="1">
      <alignment vertical="center"/>
    </xf>
    <xf numFmtId="0" fontId="8" fillId="0" borderId="0" xfId="5" applyFont="1" applyFill="1" applyBorder="1" applyAlignment="1" applyProtection="1">
      <alignment vertical="center"/>
    </xf>
    <xf numFmtId="0" fontId="2" fillId="17" borderId="0" xfId="5" applyFill="1" applyProtection="1"/>
    <xf numFmtId="49" fontId="8" fillId="17" borderId="0" xfId="5" applyNumberFormat="1" applyFont="1" applyFill="1" applyProtection="1"/>
    <xf numFmtId="0" fontId="8" fillId="17" borderId="0" xfId="5" applyFont="1" applyFill="1" applyAlignment="1" applyProtection="1">
      <alignment horizontal="left"/>
    </xf>
    <xf numFmtId="165" fontId="8" fillId="17" borderId="0" xfId="5" applyNumberFormat="1" applyFont="1" applyFill="1" applyBorder="1" applyAlignment="1" applyProtection="1">
      <alignment horizontal="left" vertical="center"/>
    </xf>
    <xf numFmtId="49" fontId="8" fillId="17" borderId="0" xfId="5" applyNumberFormat="1" applyFont="1" applyFill="1" applyAlignment="1" applyProtection="1">
      <alignment horizontal="left" vertical="center"/>
    </xf>
    <xf numFmtId="1" fontId="8" fillId="17" borderId="0" xfId="5" applyNumberFormat="1" applyFont="1" applyFill="1" applyAlignment="1" applyProtection="1">
      <alignment horizontal="left" vertical="center"/>
    </xf>
    <xf numFmtId="0" fontId="8" fillId="17" borderId="0" xfId="5" applyFont="1" applyFill="1" applyAlignment="1" applyProtection="1">
      <alignment horizontal="left" vertical="center"/>
    </xf>
    <xf numFmtId="0" fontId="8" fillId="17" borderId="0" xfId="5" applyFont="1" applyFill="1" applyBorder="1" applyAlignment="1" applyProtection="1">
      <alignment horizontal="left" vertical="center"/>
    </xf>
    <xf numFmtId="165" fontId="8" fillId="17" borderId="0" xfId="5" applyNumberFormat="1" applyFont="1" applyFill="1" applyAlignment="1" applyProtection="1">
      <alignment horizontal="left" vertical="center"/>
    </xf>
    <xf numFmtId="2" fontId="8" fillId="17" borderId="27" xfId="5" applyNumberFormat="1" applyFont="1" applyFill="1" applyBorder="1" applyAlignment="1" applyProtection="1">
      <alignment horizontal="left" vertical="center"/>
    </xf>
    <xf numFmtId="0" fontId="8" fillId="17" borderId="8" xfId="5" applyFont="1" applyFill="1" applyBorder="1" applyAlignment="1" applyProtection="1">
      <alignment horizontal="left" vertical="center"/>
    </xf>
    <xf numFmtId="49" fontId="25" fillId="18" borderId="101" xfId="5" applyNumberFormat="1" applyFont="1" applyFill="1" applyBorder="1" applyAlignment="1" applyProtection="1">
      <alignment vertical="center"/>
    </xf>
    <xf numFmtId="167" fontId="8" fillId="18" borderId="101" xfId="5" applyNumberFormat="1" applyFont="1" applyFill="1" applyBorder="1" applyAlignment="1" applyProtection="1">
      <alignment horizontal="left" vertical="center"/>
    </xf>
    <xf numFmtId="167" fontId="8" fillId="18" borderId="21" xfId="5" applyNumberFormat="1" applyFont="1" applyFill="1" applyBorder="1" applyAlignment="1" applyProtection="1">
      <alignment horizontal="left" vertical="center"/>
    </xf>
    <xf numFmtId="0" fontId="8" fillId="18" borderId="90" xfId="5" applyFont="1" applyFill="1" applyBorder="1" applyAlignment="1" applyProtection="1">
      <alignment horizontal="left" vertical="center"/>
    </xf>
    <xf numFmtId="0" fontId="2" fillId="0" borderId="101" xfId="5" applyFill="1" applyBorder="1" applyAlignment="1" applyProtection="1">
      <alignment vertical="center"/>
    </xf>
    <xf numFmtId="0" fontId="2" fillId="17" borderId="0" xfId="5" applyFill="1" applyAlignment="1" applyProtection="1">
      <alignment vertical="center"/>
    </xf>
    <xf numFmtId="0" fontId="2" fillId="0" borderId="0" xfId="5" applyAlignment="1" applyProtection="1">
      <alignment vertical="center"/>
    </xf>
    <xf numFmtId="0" fontId="2" fillId="11" borderId="0" xfId="5" applyFill="1" applyAlignment="1" applyProtection="1">
      <alignment vertical="center"/>
    </xf>
    <xf numFmtId="0" fontId="2" fillId="0" borderId="0" xfId="5" applyFill="1" applyAlignment="1" applyProtection="1">
      <alignment vertical="center"/>
    </xf>
    <xf numFmtId="0" fontId="2" fillId="24" borderId="0" xfId="5" applyFill="1" applyProtection="1"/>
    <xf numFmtId="0" fontId="2" fillId="25" borderId="0" xfId="5" applyFill="1" applyProtection="1"/>
    <xf numFmtId="49" fontId="2" fillId="0" borderId="0" xfId="5" applyNumberFormat="1" applyProtection="1"/>
    <xf numFmtId="165" fontId="2" fillId="0" borderId="9" xfId="5" applyNumberFormat="1" applyBorder="1" applyProtection="1"/>
    <xf numFmtId="165" fontId="2" fillId="0" borderId="0" xfId="5" applyNumberFormat="1" applyProtection="1"/>
    <xf numFmtId="165" fontId="2" fillId="0" borderId="0" xfId="5" applyNumberFormat="1" applyBorder="1" applyProtection="1"/>
    <xf numFmtId="0" fontId="2" fillId="0" borderId="9" xfId="5" applyBorder="1" applyProtection="1"/>
    <xf numFmtId="1" fontId="2" fillId="0" borderId="0" xfId="5" applyNumberFormat="1" applyProtection="1"/>
    <xf numFmtId="1" fontId="2" fillId="0" borderId="9" xfId="5" applyNumberFormat="1" applyBorder="1" applyProtection="1"/>
    <xf numFmtId="0" fontId="2" fillId="0" borderId="0" xfId="5" applyBorder="1" applyProtection="1"/>
    <xf numFmtId="0" fontId="2" fillId="0" borderId="27" xfId="5" applyBorder="1" applyProtection="1"/>
    <xf numFmtId="0" fontId="2" fillId="0" borderId="8" xfId="5" applyBorder="1" applyProtection="1"/>
    <xf numFmtId="49" fontId="2" fillId="8" borderId="0" xfId="5" applyNumberFormat="1" applyFill="1" applyProtection="1"/>
    <xf numFmtId="1" fontId="2" fillId="20" borderId="0" xfId="5" applyNumberFormat="1" applyFill="1" applyProtection="1"/>
    <xf numFmtId="0" fontId="2" fillId="0" borderId="0" xfId="6" applyProtection="1"/>
    <xf numFmtId="0" fontId="4" fillId="0" borderId="0" xfId="6" applyFont="1" applyProtection="1"/>
    <xf numFmtId="0" fontId="5" fillId="0" borderId="0" xfId="6" applyFont="1" applyAlignment="1" applyProtection="1">
      <alignment vertical="top"/>
    </xf>
    <xf numFmtId="0" fontId="5" fillId="0" borderId="0" xfId="6" applyFont="1" applyAlignment="1" applyProtection="1">
      <alignment horizontal="center"/>
    </xf>
    <xf numFmtId="0" fontId="5" fillId="0" borderId="0" xfId="6" applyFont="1" applyProtection="1"/>
    <xf numFmtId="0" fontId="22" fillId="12" borderId="84" xfId="4" applyFont="1" applyFill="1" applyBorder="1" applyProtection="1"/>
    <xf numFmtId="0" fontId="22" fillId="12" borderId="85" xfId="4" applyFont="1" applyFill="1" applyBorder="1" applyProtection="1"/>
    <xf numFmtId="0" fontId="10" fillId="7" borderId="85" xfId="0" applyFont="1" applyFill="1" applyBorder="1" applyAlignment="1" applyProtection="1">
      <alignment horizontal="center" vertical="center"/>
    </xf>
    <xf numFmtId="0" fontId="10" fillId="7" borderId="85" xfId="0" applyFont="1" applyFill="1" applyBorder="1" applyAlignment="1" applyProtection="1">
      <alignment horizontal="left" vertical="center"/>
    </xf>
    <xf numFmtId="0" fontId="22" fillId="12" borderId="86" xfId="4" applyFont="1" applyFill="1" applyBorder="1" applyProtection="1"/>
    <xf numFmtId="0" fontId="2" fillId="0" borderId="0" xfId="8" applyProtection="1"/>
    <xf numFmtId="166" fontId="2" fillId="0" borderId="0" xfId="6" applyNumberFormat="1" applyProtection="1"/>
    <xf numFmtId="0" fontId="8" fillId="25" borderId="48" xfId="6" applyFont="1" applyFill="1" applyBorder="1" applyAlignment="1" applyProtection="1">
      <alignment horizontal="center" vertical="center"/>
      <protection locked="0"/>
    </xf>
    <xf numFmtId="0" fontId="8" fillId="25" borderId="44" xfId="6" applyFont="1" applyFill="1" applyBorder="1" applyAlignment="1" applyProtection="1">
      <alignment horizontal="center" vertical="center"/>
      <protection locked="0"/>
    </xf>
    <xf numFmtId="165" fontId="8" fillId="25" borderId="45" xfId="6" applyNumberFormat="1" applyFont="1" applyFill="1" applyBorder="1" applyAlignment="1" applyProtection="1">
      <alignment horizontal="center" vertical="center"/>
      <protection locked="0"/>
    </xf>
    <xf numFmtId="165" fontId="8" fillId="25" borderId="54" xfId="6" applyNumberFormat="1" applyFont="1" applyFill="1" applyBorder="1" applyAlignment="1" applyProtection="1">
      <alignment horizontal="center" vertical="center"/>
      <protection locked="0"/>
    </xf>
    <xf numFmtId="0" fontId="10" fillId="25" borderId="0" xfId="5" applyFont="1" applyFill="1" applyBorder="1" applyAlignment="1" applyProtection="1">
      <alignment horizontal="center" vertical="center"/>
    </xf>
    <xf numFmtId="0" fontId="10" fillId="25" borderId="9" xfId="5" applyFont="1" applyFill="1" applyBorder="1" applyAlignment="1" applyProtection="1">
      <alignment horizontal="center" vertical="center"/>
    </xf>
    <xf numFmtId="0" fontId="10" fillId="25" borderId="27" xfId="5" applyFont="1" applyFill="1" applyBorder="1" applyAlignment="1" applyProtection="1">
      <alignment horizontal="center" vertical="center"/>
    </xf>
    <xf numFmtId="0" fontId="10" fillId="25" borderId="8" xfId="5" applyFont="1" applyFill="1" applyBorder="1" applyAlignment="1" applyProtection="1">
      <alignment horizontal="center" vertical="center"/>
    </xf>
    <xf numFmtId="165" fontId="8" fillId="25" borderId="48" xfId="6" applyNumberFormat="1" applyFont="1" applyFill="1" applyBorder="1" applyAlignment="1" applyProtection="1">
      <alignment horizontal="center" vertical="center"/>
      <protection locked="0"/>
    </xf>
    <xf numFmtId="0" fontId="8" fillId="8" borderId="3" xfId="5" applyFont="1" applyFill="1" applyBorder="1" applyAlignment="1" applyProtection="1">
      <alignment vertical="center"/>
    </xf>
    <xf numFmtId="0" fontId="8" fillId="8" borderId="0" xfId="5" applyFont="1" applyFill="1" applyAlignment="1" applyProtection="1">
      <alignment vertical="center"/>
    </xf>
    <xf numFmtId="2" fontId="52" fillId="8" borderId="0" xfId="5" applyNumberFormat="1" applyFont="1" applyFill="1" applyAlignment="1" applyProtection="1">
      <alignment vertical="center"/>
    </xf>
    <xf numFmtId="0" fontId="52" fillId="8" borderId="0" xfId="5" applyFont="1" applyFill="1" applyProtection="1"/>
    <xf numFmtId="166" fontId="8" fillId="8" borderId="0" xfId="5" applyNumberFormat="1" applyFont="1" applyFill="1" applyAlignment="1" applyProtection="1">
      <alignment vertical="center"/>
    </xf>
    <xf numFmtId="2" fontId="43" fillId="8" borderId="0" xfId="5" applyNumberFormat="1" applyFont="1" applyFill="1" applyAlignment="1" applyProtection="1">
      <alignment vertical="center"/>
    </xf>
    <xf numFmtId="0" fontId="8" fillId="13" borderId="0" xfId="5" applyFont="1" applyFill="1" applyBorder="1" applyAlignment="1" applyProtection="1">
      <alignment horizontal="center" vertical="center"/>
    </xf>
    <xf numFmtId="176" fontId="7" fillId="15" borderId="47" xfId="1" applyNumberFormat="1" applyFont="1" applyFill="1" applyBorder="1" applyAlignment="1" applyProtection="1">
      <alignment horizontal="center" vertical="center"/>
    </xf>
    <xf numFmtId="9" fontId="54" fillId="15" borderId="47" xfId="2" applyFont="1" applyFill="1" applyBorder="1" applyAlignment="1" applyProtection="1">
      <alignment horizontal="center" vertical="center"/>
    </xf>
    <xf numFmtId="0" fontId="55" fillId="7" borderId="0" xfId="0" applyFont="1" applyFill="1"/>
    <xf numFmtId="2" fontId="8" fillId="13" borderId="19" xfId="6" applyNumberFormat="1" applyFont="1" applyFill="1" applyBorder="1" applyAlignment="1" applyProtection="1">
      <alignment horizontal="center"/>
    </xf>
    <xf numFmtId="2" fontId="8" fillId="13" borderId="90" xfId="6" applyNumberFormat="1" applyFont="1" applyFill="1" applyBorder="1" applyAlignment="1" applyProtection="1">
      <alignment horizontal="center"/>
    </xf>
    <xf numFmtId="0" fontId="1" fillId="9" borderId="36" xfId="5" applyFont="1" applyFill="1" applyBorder="1" applyAlignment="1" applyProtection="1">
      <alignment horizontal="center" vertical="center"/>
    </xf>
    <xf numFmtId="2" fontId="8" fillId="17" borderId="9" xfId="5" applyNumberFormat="1" applyFont="1" applyFill="1" applyBorder="1" applyAlignment="1" applyProtection="1">
      <alignment horizontal="left" vertical="center"/>
    </xf>
    <xf numFmtId="1" fontId="8" fillId="17" borderId="8" xfId="5" applyNumberFormat="1" applyFont="1" applyFill="1" applyBorder="1" applyAlignment="1" applyProtection="1">
      <alignment horizontal="left" vertical="center"/>
    </xf>
    <xf numFmtId="0" fontId="10" fillId="9" borderId="36" xfId="6" applyFont="1" applyFill="1" applyBorder="1" applyAlignment="1" applyProtection="1">
      <alignment vertical="top"/>
    </xf>
    <xf numFmtId="2" fontId="8" fillId="13" borderId="15" xfId="6" applyNumberFormat="1" applyFont="1" applyFill="1" applyBorder="1" applyAlignment="1" applyProtection="1">
      <alignment horizontal="center"/>
    </xf>
    <xf numFmtId="2" fontId="8" fillId="13" borderId="20" xfId="6" applyNumberFormat="1" applyFont="1" applyFill="1" applyBorder="1" applyAlignment="1" applyProtection="1">
      <alignment horizontal="center"/>
    </xf>
    <xf numFmtId="2" fontId="12" fillId="13" borderId="15" xfId="6" applyNumberFormat="1" applyFont="1" applyFill="1" applyBorder="1" applyAlignment="1" applyProtection="1">
      <alignment horizontal="center"/>
    </xf>
    <xf numFmtId="2" fontId="8" fillId="13" borderId="25" xfId="6" applyNumberFormat="1" applyFont="1" applyFill="1" applyBorder="1" applyAlignment="1" applyProtection="1">
      <alignment horizontal="center"/>
    </xf>
    <xf numFmtId="2" fontId="13" fillId="13" borderId="19" xfId="6" applyNumberFormat="1" applyFont="1" applyFill="1" applyBorder="1" applyAlignment="1" applyProtection="1">
      <alignment horizontal="center"/>
    </xf>
    <xf numFmtId="9" fontId="2" fillId="11" borderId="83" xfId="0" applyNumberFormat="1" applyFont="1" applyFill="1" applyBorder="1" applyAlignment="1" applyProtection="1">
      <alignment horizontal="center"/>
      <protection locked="0"/>
    </xf>
    <xf numFmtId="0" fontId="2" fillId="11" borderId="83" xfId="0" applyFont="1" applyFill="1" applyBorder="1" applyAlignment="1" applyProtection="1">
      <alignment horizontal="center"/>
      <protection locked="0"/>
    </xf>
    <xf numFmtId="0" fontId="8" fillId="13" borderId="0" xfId="5" applyFont="1" applyFill="1" applyBorder="1" applyAlignment="1" applyProtection="1">
      <alignment horizontal="center" vertical="center"/>
    </xf>
    <xf numFmtId="49" fontId="8" fillId="13" borderId="0" xfId="5" applyNumberFormat="1" applyFont="1" applyFill="1" applyBorder="1" applyAlignment="1" applyProtection="1">
      <alignment horizontal="center" vertical="center"/>
    </xf>
    <xf numFmtId="0" fontId="8" fillId="13" borderId="9" xfId="5" applyFont="1" applyFill="1" applyBorder="1" applyAlignment="1" applyProtection="1">
      <alignment horizontal="center" vertical="center"/>
    </xf>
    <xf numFmtId="1" fontId="8" fillId="18" borderId="37" xfId="6" applyNumberFormat="1" applyFont="1" applyFill="1" applyBorder="1" applyAlignment="1" applyProtection="1">
      <alignment horizontal="center" vertical="center"/>
    </xf>
    <xf numFmtId="165" fontId="8" fillId="18" borderId="17" xfId="6" applyNumberFormat="1" applyFont="1" applyFill="1" applyBorder="1" applyAlignment="1" applyProtection="1">
      <alignment horizontal="center" vertical="center"/>
    </xf>
    <xf numFmtId="165" fontId="8" fillId="18" borderId="12" xfId="6" applyNumberFormat="1" applyFont="1" applyFill="1" applyBorder="1" applyAlignment="1" applyProtection="1">
      <alignment horizontal="center" vertical="center"/>
    </xf>
    <xf numFmtId="165" fontId="8" fillId="18" borderId="76" xfId="6" applyNumberFormat="1" applyFont="1" applyFill="1" applyBorder="1" applyAlignment="1" applyProtection="1">
      <alignment horizontal="center" vertical="center"/>
    </xf>
    <xf numFmtId="165" fontId="1" fillId="9" borderId="55" xfId="5" applyNumberFormat="1" applyFont="1" applyFill="1" applyBorder="1" applyAlignment="1" applyProtection="1">
      <alignment horizontal="center" vertical="center"/>
    </xf>
    <xf numFmtId="165" fontId="10" fillId="9" borderId="55" xfId="6" applyNumberFormat="1" applyFont="1" applyFill="1" applyBorder="1" applyAlignment="1" applyProtection="1">
      <alignment horizontal="center"/>
    </xf>
    <xf numFmtId="165" fontId="8" fillId="13" borderId="41" xfId="6" applyNumberFormat="1" applyFont="1" applyFill="1" applyBorder="1" applyAlignment="1" applyProtection="1">
      <alignment horizontal="center"/>
    </xf>
    <xf numFmtId="165" fontId="8" fillId="13" borderId="11" xfId="6" applyNumberFormat="1" applyFont="1" applyFill="1" applyBorder="1" applyAlignment="1" applyProtection="1">
      <alignment horizontal="center"/>
    </xf>
    <xf numFmtId="2" fontId="8" fillId="13" borderId="11" xfId="6" applyNumberFormat="1" applyFont="1" applyFill="1" applyBorder="1" applyAlignment="1" applyProtection="1">
      <alignment horizontal="center"/>
    </xf>
    <xf numFmtId="1" fontId="8" fillId="13" borderId="13" xfId="6" applyNumberFormat="1" applyFont="1" applyFill="1" applyBorder="1" applyAlignment="1" applyProtection="1">
      <alignment horizontal="center"/>
    </xf>
    <xf numFmtId="1" fontId="8" fillId="13" borderId="22" xfId="6" applyNumberFormat="1" applyFont="1" applyFill="1" applyBorder="1" applyAlignment="1" applyProtection="1">
      <alignment horizontal="center"/>
    </xf>
    <xf numFmtId="1" fontId="8" fillId="13" borderId="60" xfId="6" applyNumberFormat="1" applyFont="1" applyFill="1" applyBorder="1" applyAlignment="1" applyProtection="1">
      <alignment horizontal="center"/>
    </xf>
    <xf numFmtId="165" fontId="8" fillId="13" borderId="94" xfId="6" applyNumberFormat="1" applyFont="1" applyFill="1" applyBorder="1" applyAlignment="1" applyProtection="1">
      <alignment horizontal="center"/>
    </xf>
    <xf numFmtId="165" fontId="8" fillId="13" borderId="60" xfId="6" applyNumberFormat="1" applyFont="1" applyFill="1" applyBorder="1" applyAlignment="1" applyProtection="1">
      <alignment horizontal="center"/>
    </xf>
    <xf numFmtId="0" fontId="8" fillId="10" borderId="37" xfId="6" applyFont="1" applyFill="1" applyBorder="1" applyAlignment="1" applyProtection="1">
      <alignment horizontal="center" vertical="top"/>
    </xf>
    <xf numFmtId="173" fontId="16" fillId="18" borderId="115" xfId="6" applyNumberFormat="1" applyFont="1" applyFill="1" applyBorder="1" applyAlignment="1" applyProtection="1">
      <alignment horizontal="center" vertical="center" wrapText="1"/>
    </xf>
    <xf numFmtId="1" fontId="32" fillId="18" borderId="23" xfId="6" applyNumberFormat="1" applyFont="1" applyFill="1" applyBorder="1" applyAlignment="1" applyProtection="1">
      <alignment horizontal="center" vertical="center"/>
    </xf>
    <xf numFmtId="175" fontId="31" fillId="15" borderId="46" xfId="2" applyNumberFormat="1" applyFont="1" applyFill="1" applyBorder="1" applyAlignment="1" applyProtection="1">
      <alignment horizontal="center" vertical="center"/>
    </xf>
    <xf numFmtId="165" fontId="8" fillId="10" borderId="48" xfId="6" applyNumberFormat="1" applyFont="1" applyFill="1" applyBorder="1" applyAlignment="1" applyProtection="1">
      <alignment horizontal="center" vertical="center"/>
      <protection locked="0"/>
    </xf>
    <xf numFmtId="165" fontId="8" fillId="18" borderId="22" xfId="6" applyNumberFormat="1" applyFont="1" applyFill="1" applyBorder="1" applyAlignment="1" applyProtection="1">
      <alignment horizontal="center" vertical="center"/>
    </xf>
    <xf numFmtId="0" fontId="2" fillId="17" borderId="0" xfId="0" applyFont="1" applyFill="1" applyAlignment="1">
      <alignment horizontal="left" vertical="top" wrapText="1"/>
    </xf>
    <xf numFmtId="49" fontId="8" fillId="13" borderId="0" xfId="5" applyNumberFormat="1" applyFont="1" applyFill="1" applyBorder="1" applyAlignment="1" applyProtection="1">
      <alignment horizontal="center" vertical="center"/>
    </xf>
    <xf numFmtId="0" fontId="8" fillId="13" borderId="9" xfId="5" applyFont="1" applyFill="1" applyBorder="1" applyAlignment="1" applyProtection="1">
      <alignment horizontal="center" vertical="center"/>
    </xf>
    <xf numFmtId="0" fontId="8" fillId="13" borderId="0" xfId="5" applyFont="1" applyFill="1" applyBorder="1" applyAlignment="1" applyProtection="1">
      <alignment horizontal="center" vertical="center"/>
    </xf>
    <xf numFmtId="0" fontId="8" fillId="10" borderId="9" xfId="5" applyFont="1" applyFill="1" applyBorder="1" applyAlignment="1" applyProtection="1">
      <alignment horizontal="center" vertical="center"/>
    </xf>
    <xf numFmtId="0" fontId="8" fillId="10" borderId="0" xfId="5" applyFont="1" applyFill="1" applyBorder="1" applyAlignment="1" applyProtection="1">
      <alignment horizontal="center" vertical="center"/>
    </xf>
    <xf numFmtId="0" fontId="8" fillId="10" borderId="27" xfId="5" applyFont="1" applyFill="1" applyBorder="1" applyAlignment="1" applyProtection="1">
      <alignment horizontal="center" vertical="center"/>
    </xf>
    <xf numFmtId="49" fontId="8" fillId="10" borderId="9" xfId="5" applyNumberFormat="1" applyFont="1" applyFill="1" applyBorder="1" applyAlignment="1" applyProtection="1">
      <alignment horizontal="center" vertical="center"/>
    </xf>
    <xf numFmtId="49" fontId="8" fillId="10" borderId="0" xfId="5" applyNumberFormat="1" applyFont="1" applyFill="1" applyBorder="1" applyAlignment="1" applyProtection="1">
      <alignment horizontal="center" vertical="center"/>
    </xf>
    <xf numFmtId="0" fontId="10" fillId="25" borderId="0" xfId="5" applyFont="1" applyFill="1" applyBorder="1" applyAlignment="1" applyProtection="1">
      <alignment horizontal="center" vertical="center"/>
    </xf>
    <xf numFmtId="0" fontId="10" fillId="25" borderId="27" xfId="5" applyFont="1" applyFill="1" applyBorder="1" applyAlignment="1" applyProtection="1">
      <alignment horizontal="center" vertical="center"/>
    </xf>
    <xf numFmtId="0" fontId="8" fillId="13" borderId="27" xfId="5" applyFont="1" applyFill="1" applyBorder="1" applyAlignment="1" applyProtection="1">
      <alignment horizontal="center" vertical="center"/>
    </xf>
    <xf numFmtId="0" fontId="10" fillId="13" borderId="0" xfId="5" applyFont="1" applyFill="1" applyBorder="1" applyAlignment="1" applyProtection="1">
      <alignment horizontal="center" vertical="center"/>
    </xf>
    <xf numFmtId="1" fontId="28" fillId="18" borderId="38" xfId="6" applyNumberFormat="1" applyFont="1" applyFill="1" applyBorder="1" applyAlignment="1" applyProtection="1">
      <alignment horizontal="center" vertical="center"/>
    </xf>
    <xf numFmtId="1" fontId="28" fillId="18" borderId="54" xfId="6" applyNumberFormat="1" applyFont="1" applyFill="1" applyBorder="1" applyAlignment="1" applyProtection="1">
      <alignment horizontal="center" vertical="center"/>
    </xf>
    <xf numFmtId="0" fontId="8" fillId="18" borderId="49" xfId="6" applyFont="1" applyFill="1" applyBorder="1" applyAlignment="1" applyProtection="1">
      <alignment horizontal="left" vertical="center"/>
      <protection locked="0"/>
    </xf>
    <xf numFmtId="0" fontId="8" fillId="18" borderId="66" xfId="6" applyFont="1" applyFill="1" applyBorder="1" applyAlignment="1" applyProtection="1">
      <alignment horizontal="left" vertical="center"/>
      <protection locked="0"/>
    </xf>
    <xf numFmtId="0" fontId="8" fillId="18" borderId="38" xfId="6" applyFont="1" applyFill="1" applyBorder="1" applyAlignment="1" applyProtection="1">
      <alignment horizontal="left" vertical="center"/>
      <protection locked="0"/>
    </xf>
    <xf numFmtId="0" fontId="8" fillId="18" borderId="53" xfId="6" applyFont="1" applyFill="1" applyBorder="1" applyAlignment="1" applyProtection="1">
      <alignment horizontal="left" vertical="center"/>
      <protection locked="0"/>
    </xf>
    <xf numFmtId="0" fontId="8" fillId="18" borderId="26" xfId="6" applyFont="1" applyFill="1" applyBorder="1" applyAlignment="1" applyProtection="1">
      <alignment horizontal="left" vertical="center"/>
      <protection locked="0"/>
    </xf>
    <xf numFmtId="0" fontId="8" fillId="18" borderId="54" xfId="6" applyFont="1" applyFill="1" applyBorder="1" applyAlignment="1" applyProtection="1">
      <alignment horizontal="left" vertical="center"/>
      <protection locked="0"/>
    </xf>
    <xf numFmtId="0" fontId="8" fillId="18" borderId="29" xfId="6" applyFont="1" applyFill="1" applyBorder="1" applyAlignment="1" applyProtection="1">
      <alignment horizontal="left" vertical="center"/>
      <protection locked="0"/>
    </xf>
    <xf numFmtId="0" fontId="8" fillId="18" borderId="4" xfId="6" applyFont="1" applyFill="1" applyBorder="1" applyAlignment="1" applyProtection="1">
      <alignment horizontal="left" vertical="center"/>
      <protection locked="0"/>
    </xf>
    <xf numFmtId="0" fontId="7" fillId="17" borderId="0" xfId="6" applyFont="1" applyFill="1" applyAlignment="1" applyProtection="1">
      <alignment horizontal="center" vertical="center" wrapText="1"/>
      <protection locked="0"/>
    </xf>
    <xf numFmtId="0" fontId="7" fillId="17" borderId="52" xfId="6" applyFont="1" applyFill="1" applyBorder="1" applyAlignment="1" applyProtection="1">
      <alignment horizontal="center" vertical="center" wrapText="1"/>
      <protection locked="0"/>
    </xf>
    <xf numFmtId="0" fontId="2" fillId="7" borderId="0" xfId="0" applyFont="1" applyFill="1" applyAlignment="1">
      <alignment horizontal="right"/>
    </xf>
    <xf numFmtId="0" fontId="0" fillId="7" borderId="0" xfId="0" applyFill="1" applyAlignment="1">
      <alignment horizontal="right"/>
    </xf>
  </cellXfs>
  <cellStyles count="11">
    <cellStyle name="Komma" xfId="1" builtinId="3"/>
    <cellStyle name="Link" xfId="10" builtinId="8"/>
    <cellStyle name="Prozent" xfId="2" builtinId="5"/>
    <cellStyle name="Prozent 2" xfId="3" xr:uid="{00000000-0005-0000-0000-000003000000}"/>
    <cellStyle name="Standard" xfId="0" builtinId="0"/>
    <cellStyle name="Standard 2" xfId="9" xr:uid="{00000000-0005-0000-0000-000005000000}"/>
    <cellStyle name="Standard_BCS" xfId="4" xr:uid="{00000000-0005-0000-0000-000006000000}"/>
    <cellStyle name="Standard_Fumitab (2)" xfId="5" xr:uid="{00000000-0005-0000-0000-000007000000}"/>
    <cellStyle name="Standard_Ration Milch (2)" xfId="6" xr:uid="{00000000-0005-0000-0000-000009000000}"/>
    <cellStyle name="Standard_Ration Milch (2)_1" xfId="7" xr:uid="{00000000-0005-0000-0000-00000A000000}"/>
    <cellStyle name="Standard_Ration Milch (3)" xfId="8" xr:uid="{00000000-0005-0000-0000-00000B000000}"/>
  </cellStyles>
  <dxfs count="29">
    <dxf>
      <fill>
        <patternFill>
          <bgColor rgb="FFFFC000"/>
        </patternFill>
      </fill>
    </dxf>
    <dxf>
      <fill>
        <patternFill>
          <bgColor rgb="FFFFC000"/>
        </patternFill>
      </fill>
    </dxf>
    <dxf>
      <fill>
        <patternFill>
          <bgColor rgb="FFFFC000"/>
        </patternFill>
      </fill>
    </dxf>
    <dxf>
      <fill>
        <patternFill>
          <bgColor rgb="FFFFC000"/>
        </patternFill>
      </fill>
    </dxf>
    <dxf>
      <font>
        <condense val="0"/>
        <extend val="0"/>
        <color indexed="22"/>
      </font>
    </dxf>
    <dxf>
      <font>
        <condense val="0"/>
        <extend val="0"/>
        <color indexed="22"/>
      </font>
    </dxf>
    <dxf>
      <fill>
        <patternFill>
          <bgColor rgb="FFE6E6E6"/>
        </patternFill>
      </fill>
    </dxf>
    <dxf>
      <fill>
        <patternFill>
          <bgColor rgb="FFFFFF00"/>
        </patternFill>
      </fill>
    </dxf>
    <dxf>
      <fill>
        <patternFill>
          <bgColor rgb="FF92D050"/>
        </patternFill>
      </fill>
    </dxf>
    <dxf>
      <fill>
        <patternFill>
          <bgColor rgb="FFFF00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rgb="FF00B050"/>
        </patternFill>
      </fill>
    </dxf>
    <dxf>
      <fill>
        <patternFill>
          <bgColor theme="8" tint="0.39994506668294322"/>
        </patternFill>
      </fill>
    </dxf>
    <dxf>
      <fill>
        <patternFill>
          <bgColor theme="5" tint="0.39994506668294322"/>
        </patternFill>
      </fill>
    </dxf>
    <dxf>
      <fill>
        <patternFill>
          <bgColor rgb="FFFFC000"/>
        </patternFill>
      </fill>
    </dxf>
    <dxf>
      <fill>
        <patternFill>
          <bgColor rgb="FF00B050"/>
        </patternFill>
      </fill>
    </dxf>
    <dxf>
      <font>
        <b val="0"/>
        <i val="0"/>
      </font>
      <fill>
        <patternFill patternType="none">
          <bgColor auto="1"/>
        </patternFill>
      </fill>
      <border diagonalUp="0" diagonalDown="0">
        <left/>
        <right/>
        <top/>
        <bottom/>
        <vertical/>
        <horizontal/>
      </border>
    </dxf>
    <dxf>
      <font>
        <b val="0"/>
        <i val="0"/>
        <strike val="0"/>
      </font>
      <border diagonalUp="0" diagonalDown="0">
        <left/>
        <right/>
        <top/>
        <bottom/>
        <vertical/>
        <horizontal/>
      </border>
    </dxf>
    <dxf>
      <font>
        <b val="0"/>
        <i/>
      </font>
      <border diagonalUp="0" diagonalDown="0">
        <left/>
        <right style="thin">
          <color auto="1"/>
        </right>
        <top/>
        <bottom/>
        <vertical/>
        <horizontal/>
      </border>
    </dxf>
    <dxf>
      <font>
        <b/>
        <i val="0"/>
      </font>
      <border diagonalUp="0" diagonalDown="0">
        <left/>
        <right/>
        <top/>
        <bottom style="medium">
          <color auto="1"/>
        </bottom>
        <vertical/>
        <horizontal/>
      </border>
    </dxf>
    <dxf>
      <font>
        <b val="0"/>
        <i val="0"/>
        <strike val="0"/>
      </font>
    </dxf>
  </dxfs>
  <tableStyles count="1" defaultTableStyle="TableStyleMedium2" defaultPivotStyle="PivotStyleLight16">
    <tableStyle name="Tabellenformat 1" pivot="0" count="5" xr9:uid="{00000000-0011-0000-FFFF-FFFF00000000}">
      <tableStyleElement type="wholeTable" dxfId="28"/>
      <tableStyleElement type="headerRow" dxfId="27"/>
      <tableStyleElement type="firstColumn" dxfId="26"/>
      <tableStyleElement type="firstColumnStripe" dxfId="25"/>
      <tableStyleElement type="secondColumnStripe" dxfId="2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E0"/>
      <color rgb="FF000000"/>
      <color rgb="FFE6E6E6"/>
      <color rgb="FFFFFFCC"/>
      <color rgb="FFC3EBF5"/>
      <color rgb="FFF9F9E7"/>
      <color rgb="FF33CC33"/>
      <color rgb="FFFFFFDD"/>
      <color rgb="FF2AFFF0"/>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Drop" dropLines="20" dropStyle="combo" dx="31" fmlaLink="C21" fmlaRange="Tabelle_1" sel="15" val="8"/>
</file>

<file path=xl/ctrlProps/ctrlProp10.xml><?xml version="1.0" encoding="utf-8"?>
<formControlPr xmlns="http://schemas.microsoft.com/office/spreadsheetml/2009/9/main" objectType="Radio" checked="Checked" firstButton="1" fmlaLink="Art" lockText="1" noThreeD="1"/>
</file>

<file path=xl/ctrlProps/ctrlProp11.xml><?xml version="1.0" encoding="utf-8"?>
<formControlPr xmlns="http://schemas.microsoft.com/office/spreadsheetml/2009/9/main" objectType="Drop" dropLines="20" dropStyle="combo" dx="31" fmlaLink="C24" fmlaRange="Tabelle_1" sel="15" val="14"/>
</file>

<file path=xl/ctrlProps/ctrlProp12.xml><?xml version="1.0" encoding="utf-8"?>
<formControlPr xmlns="http://schemas.microsoft.com/office/spreadsheetml/2009/9/main" objectType="Drop" dropLines="20" dropStyle="combo" dx="31" fmlaLink="C30" fmlaRange="Tabelle_1" sel="31" val="21"/>
</file>

<file path=xl/ctrlProps/ctrlProp13.xml><?xml version="1.0" encoding="utf-8"?>
<formControlPr xmlns="http://schemas.microsoft.com/office/spreadsheetml/2009/9/main" objectType="Drop" dropLines="20" dropStyle="combo" dx="31" fmlaLink="C20" fmlaRange="Tabelle_1" sel="15" val="7"/>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Radio" checked="Checked" firstButton="1" fmlaLink="TM_FM" lockText="1" noThreeD="1"/>
</file>

<file path=xl/ctrlProps/ctrlProp16.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Lines="20" dropStyle="combo" dx="31" fmlaLink="C22" fmlaRange="Tabelle_1" sel="15" val="8"/>
</file>

<file path=xl/ctrlProps/ctrlProp3.xml><?xml version="1.0" encoding="utf-8"?>
<formControlPr xmlns="http://schemas.microsoft.com/office/spreadsheetml/2009/9/main" objectType="Drop" dropLines="20" dropStyle="combo" dx="31" fmlaLink="C23" fmlaRange="Tabelle_1" sel="21" val="19"/>
</file>

<file path=xl/ctrlProps/ctrlProp4.xml><?xml version="1.0" encoding="utf-8"?>
<formControlPr xmlns="http://schemas.microsoft.com/office/spreadsheetml/2009/9/main" objectType="Drop" dropLines="20" dropStyle="combo" dx="31" fmlaLink="C28" fmlaRange="Tabelle_1" sel="31" val="30"/>
</file>

<file path=xl/ctrlProps/ctrlProp5.xml><?xml version="1.0" encoding="utf-8"?>
<formControlPr xmlns="http://schemas.microsoft.com/office/spreadsheetml/2009/9/main" objectType="Drop" dropLines="20" dropStyle="combo" dx="31" fmlaLink="C37" fmlaRange="Tabelle_1" sel="31" val="29"/>
</file>

<file path=xl/ctrlProps/ctrlProp6.xml><?xml version="1.0" encoding="utf-8"?>
<formControlPr xmlns="http://schemas.microsoft.com/office/spreadsheetml/2009/9/main" objectType="Drop" dropLines="20" dropStyle="combo" dx="31" fmlaLink="C31" fmlaRange="Tabelle_1" sel="21" val="18"/>
</file>

<file path=xl/ctrlProps/ctrlProp7.xml><?xml version="1.0" encoding="utf-8"?>
<formControlPr xmlns="http://schemas.microsoft.com/office/spreadsheetml/2009/9/main" objectType="Drop" dropLines="20" dropStyle="combo" dx="31" fmlaLink="C29" fmlaRange="Tabelle_1" sel="15" val="8"/>
</file>

<file path=xl/ctrlProps/ctrlProp8.xml><?xml version="1.0" encoding="utf-8"?>
<formControlPr xmlns="http://schemas.microsoft.com/office/spreadsheetml/2009/9/main" objectType="GBox" noThreeD="1"/>
</file>

<file path=xl/ctrlProps/ctrlProp9.xml><?xml version="1.0" encoding="utf-8"?>
<formControlPr xmlns="http://schemas.microsoft.com/office/spreadsheetml/2009/9/main" objectType="Drop" dropLines="20" dropStyle="combo" dx="31" fmlaLink="C38" fmlaRange="Tabelle_1" sel="15" val="8"/>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4962525</xdr:colOff>
      <xdr:row>10</xdr:row>
      <xdr:rowOff>19050</xdr:rowOff>
    </xdr:from>
    <xdr:to>
      <xdr:col>1</xdr:col>
      <xdr:colOff>10559813</xdr:colOff>
      <xdr:row>16</xdr:row>
      <xdr:rowOff>127500</xdr:rowOff>
    </xdr:to>
    <xdr:pic>
      <xdr:nvPicPr>
        <xdr:cNvPr id="6" name="Grafik 5">
          <a:extLst>
            <a:ext uri="{FF2B5EF4-FFF2-40B4-BE49-F238E27FC236}">
              <a16:creationId xmlns:a16="http://schemas.microsoft.com/office/drawing/2014/main" id="{CFAE7314-6933-BE2B-3A2D-2AF2DEBFEF1A}"/>
            </a:ext>
          </a:extLst>
        </xdr:cNvPr>
        <xdr:cNvPicPr>
          <a:picLocks noChangeAspect="1"/>
        </xdr:cNvPicPr>
      </xdr:nvPicPr>
      <xdr:blipFill>
        <a:blip xmlns:r="http://schemas.openxmlformats.org/officeDocument/2006/relationships" r:embed="rId1"/>
        <a:stretch>
          <a:fillRect/>
        </a:stretch>
      </xdr:blipFill>
      <xdr:spPr>
        <a:xfrm>
          <a:off x="5724525" y="6429375"/>
          <a:ext cx="5597288" cy="10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37</xdr:col>
      <xdr:colOff>489796</xdr:colOff>
      <xdr:row>2</xdr:row>
      <xdr:rowOff>96651</xdr:rowOff>
    </xdr:from>
    <xdr:to>
      <xdr:col>40</xdr:col>
      <xdr:colOff>408355</xdr:colOff>
      <xdr:row>3</xdr:row>
      <xdr:rowOff>250031</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clrChange>
            <a:clrFrom>
              <a:srgbClr val="FFFDDB"/>
            </a:clrFrom>
            <a:clrTo>
              <a:srgbClr val="FFFDDB">
                <a:alpha val="0"/>
              </a:srgbClr>
            </a:clrTo>
          </a:clrChange>
        </a:blip>
        <a:stretch>
          <a:fillRect/>
        </a:stretch>
      </xdr:blipFill>
      <xdr:spPr>
        <a:xfrm>
          <a:off x="18492046" y="96651"/>
          <a:ext cx="1445734" cy="4510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411480</xdr:colOff>
      <xdr:row>11</xdr:row>
      <xdr:rowOff>7620</xdr:rowOff>
    </xdr:from>
    <xdr:to>
      <xdr:col>10</xdr:col>
      <xdr:colOff>411480</xdr:colOff>
      <xdr:row>12</xdr:row>
      <xdr:rowOff>175260</xdr:rowOff>
    </xdr:to>
    <xdr:sp macro="" textlink="">
      <xdr:nvSpPr>
        <xdr:cNvPr id="1208" name="Line 1">
          <a:extLst>
            <a:ext uri="{FF2B5EF4-FFF2-40B4-BE49-F238E27FC236}">
              <a16:creationId xmlns:a16="http://schemas.microsoft.com/office/drawing/2014/main" id="{00000000-0008-0000-0400-0000B8040000}"/>
            </a:ext>
          </a:extLst>
        </xdr:cNvPr>
        <xdr:cNvSpPr>
          <a:spLocks noChangeShapeType="1"/>
        </xdr:cNvSpPr>
      </xdr:nvSpPr>
      <xdr:spPr bwMode="auto">
        <a:xfrm flipH="1">
          <a:off x="5897880" y="3482340"/>
          <a:ext cx="0" cy="43434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427990</xdr:colOff>
      <xdr:row>13</xdr:row>
      <xdr:rowOff>181610</xdr:rowOff>
    </xdr:from>
    <xdr:to>
      <xdr:col>22</xdr:col>
      <xdr:colOff>655320</xdr:colOff>
      <xdr:row>13</xdr:row>
      <xdr:rowOff>190500</xdr:rowOff>
    </xdr:to>
    <xdr:sp macro="" textlink="">
      <xdr:nvSpPr>
        <xdr:cNvPr id="1209" name="Line 2">
          <a:extLst>
            <a:ext uri="{FF2B5EF4-FFF2-40B4-BE49-F238E27FC236}">
              <a16:creationId xmlns:a16="http://schemas.microsoft.com/office/drawing/2014/main" id="{00000000-0008-0000-0400-0000B9040000}"/>
            </a:ext>
          </a:extLst>
        </xdr:cNvPr>
        <xdr:cNvSpPr>
          <a:spLocks noChangeShapeType="1"/>
        </xdr:cNvSpPr>
      </xdr:nvSpPr>
      <xdr:spPr bwMode="auto">
        <a:xfrm>
          <a:off x="6666865" y="2626360"/>
          <a:ext cx="7259955" cy="889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434340</xdr:colOff>
      <xdr:row>11</xdr:row>
      <xdr:rowOff>0</xdr:rowOff>
    </xdr:from>
    <xdr:to>
      <xdr:col>9</xdr:col>
      <xdr:colOff>434340</xdr:colOff>
      <xdr:row>13</xdr:row>
      <xdr:rowOff>160020</xdr:rowOff>
    </xdr:to>
    <xdr:sp macro="" textlink="">
      <xdr:nvSpPr>
        <xdr:cNvPr id="1210" name="Line 3">
          <a:extLst>
            <a:ext uri="{FF2B5EF4-FFF2-40B4-BE49-F238E27FC236}">
              <a16:creationId xmlns:a16="http://schemas.microsoft.com/office/drawing/2014/main" id="{00000000-0008-0000-0400-0000BA040000}"/>
            </a:ext>
          </a:extLst>
        </xdr:cNvPr>
        <xdr:cNvSpPr>
          <a:spLocks noChangeShapeType="1"/>
        </xdr:cNvSpPr>
      </xdr:nvSpPr>
      <xdr:spPr bwMode="auto">
        <a:xfrm>
          <a:off x="5173980" y="3474720"/>
          <a:ext cx="0" cy="73914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411480</xdr:colOff>
      <xdr:row>12</xdr:row>
      <xdr:rowOff>175260</xdr:rowOff>
    </xdr:from>
    <xdr:to>
      <xdr:col>22</xdr:col>
      <xdr:colOff>662940</xdr:colOff>
      <xdr:row>12</xdr:row>
      <xdr:rowOff>182880</xdr:rowOff>
    </xdr:to>
    <xdr:sp macro="" textlink="">
      <xdr:nvSpPr>
        <xdr:cNvPr id="1211" name="Line 4">
          <a:extLst>
            <a:ext uri="{FF2B5EF4-FFF2-40B4-BE49-F238E27FC236}">
              <a16:creationId xmlns:a16="http://schemas.microsoft.com/office/drawing/2014/main" id="{00000000-0008-0000-0400-0000BB040000}"/>
            </a:ext>
          </a:extLst>
        </xdr:cNvPr>
        <xdr:cNvSpPr>
          <a:spLocks noChangeShapeType="1"/>
        </xdr:cNvSpPr>
      </xdr:nvSpPr>
      <xdr:spPr bwMode="auto">
        <a:xfrm>
          <a:off x="5897880" y="3916680"/>
          <a:ext cx="4716780" cy="762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330835</xdr:colOff>
      <xdr:row>11</xdr:row>
      <xdr:rowOff>201295</xdr:rowOff>
    </xdr:from>
    <xdr:to>
      <xdr:col>22</xdr:col>
      <xdr:colOff>635635</xdr:colOff>
      <xdr:row>11</xdr:row>
      <xdr:rowOff>217805</xdr:rowOff>
    </xdr:to>
    <xdr:sp macro="" textlink="">
      <xdr:nvSpPr>
        <xdr:cNvPr id="1212" name="Line 5">
          <a:extLst>
            <a:ext uri="{FF2B5EF4-FFF2-40B4-BE49-F238E27FC236}">
              <a16:creationId xmlns:a16="http://schemas.microsoft.com/office/drawing/2014/main" id="{00000000-0008-0000-0400-0000BC040000}"/>
            </a:ext>
          </a:extLst>
        </xdr:cNvPr>
        <xdr:cNvSpPr>
          <a:spLocks noChangeShapeType="1"/>
        </xdr:cNvSpPr>
      </xdr:nvSpPr>
      <xdr:spPr bwMode="auto">
        <a:xfrm>
          <a:off x="8024918" y="2159212"/>
          <a:ext cx="6485467" cy="1651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403860</xdr:colOff>
      <xdr:row>11</xdr:row>
      <xdr:rowOff>0</xdr:rowOff>
    </xdr:from>
    <xdr:to>
      <xdr:col>12</xdr:col>
      <xdr:colOff>403860</xdr:colOff>
      <xdr:row>11</xdr:row>
      <xdr:rowOff>190500</xdr:rowOff>
    </xdr:to>
    <xdr:sp macro="" textlink="">
      <xdr:nvSpPr>
        <xdr:cNvPr id="1213" name="Line 6">
          <a:extLst>
            <a:ext uri="{FF2B5EF4-FFF2-40B4-BE49-F238E27FC236}">
              <a16:creationId xmlns:a16="http://schemas.microsoft.com/office/drawing/2014/main" id="{00000000-0008-0000-0400-0000BD040000}"/>
            </a:ext>
          </a:extLst>
        </xdr:cNvPr>
        <xdr:cNvSpPr>
          <a:spLocks noChangeShapeType="1"/>
        </xdr:cNvSpPr>
      </xdr:nvSpPr>
      <xdr:spPr bwMode="auto">
        <a:xfrm>
          <a:off x="7519035" y="1914525"/>
          <a:ext cx="0" cy="190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335280</xdr:colOff>
      <xdr:row>11</xdr:row>
      <xdr:rowOff>0</xdr:rowOff>
    </xdr:from>
    <xdr:to>
      <xdr:col>11</xdr:col>
      <xdr:colOff>335280</xdr:colOff>
      <xdr:row>11</xdr:row>
      <xdr:rowOff>190500</xdr:rowOff>
    </xdr:to>
    <xdr:sp macro="" textlink="">
      <xdr:nvSpPr>
        <xdr:cNvPr id="1214" name="Line 7">
          <a:extLst>
            <a:ext uri="{FF2B5EF4-FFF2-40B4-BE49-F238E27FC236}">
              <a16:creationId xmlns:a16="http://schemas.microsoft.com/office/drawing/2014/main" id="{00000000-0008-0000-0400-0000BE040000}"/>
            </a:ext>
          </a:extLst>
        </xdr:cNvPr>
        <xdr:cNvSpPr>
          <a:spLocks noChangeShapeType="1"/>
        </xdr:cNvSpPr>
      </xdr:nvSpPr>
      <xdr:spPr bwMode="auto">
        <a:xfrm>
          <a:off x="6568440" y="3474720"/>
          <a:ext cx="0" cy="190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6</xdr:col>
          <xdr:colOff>38100</xdr:colOff>
          <xdr:row>20</xdr:row>
          <xdr:rowOff>0</xdr:rowOff>
        </xdr:to>
        <xdr:sp macro="" textlink="">
          <xdr:nvSpPr>
            <xdr:cNvPr id="1055" name="Drop Down 31" hidden="1">
              <a:extLst>
                <a:ext uri="{63B3BB69-23CF-44E3-9099-C40C66FF867C}">
                  <a14:compatExt spid="_x0000_s1055"/>
                </a:ext>
                <a:ext uri="{FF2B5EF4-FFF2-40B4-BE49-F238E27FC236}">
                  <a16:creationId xmlns:a16="http://schemas.microsoft.com/office/drawing/2014/main" id="{00000000-0008-0000-0300-00001F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6</xdr:col>
          <xdr:colOff>38100</xdr:colOff>
          <xdr:row>21</xdr:row>
          <xdr:rowOff>0</xdr:rowOff>
        </xdr:to>
        <xdr:sp macro="" textlink="">
          <xdr:nvSpPr>
            <xdr:cNvPr id="1056" name="Drop Down 32" hidden="1">
              <a:extLst>
                <a:ext uri="{63B3BB69-23CF-44E3-9099-C40C66FF867C}">
                  <a14:compatExt spid="_x0000_s1056"/>
                </a:ext>
                <a:ext uri="{FF2B5EF4-FFF2-40B4-BE49-F238E27FC236}">
                  <a16:creationId xmlns:a16="http://schemas.microsoft.com/office/drawing/2014/main" id="{00000000-0008-0000-0300-000020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12700</xdr:rowOff>
        </xdr:from>
        <xdr:to>
          <xdr:col>6</xdr:col>
          <xdr:colOff>38100</xdr:colOff>
          <xdr:row>22</xdr:row>
          <xdr:rowOff>0</xdr:rowOff>
        </xdr:to>
        <xdr:sp macro="" textlink="">
          <xdr:nvSpPr>
            <xdr:cNvPr id="1057" name="Drop Down 33" hidden="1">
              <a:extLst>
                <a:ext uri="{63B3BB69-23CF-44E3-9099-C40C66FF867C}">
                  <a14:compatExt spid="_x0000_s1057"/>
                </a:ext>
                <a:ext uri="{FF2B5EF4-FFF2-40B4-BE49-F238E27FC236}">
                  <a16:creationId xmlns:a16="http://schemas.microsoft.com/office/drawing/2014/main" id="{00000000-0008-0000-0300-000021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0</xdr:rowOff>
        </xdr:from>
        <xdr:to>
          <xdr:col>6</xdr:col>
          <xdr:colOff>38100</xdr:colOff>
          <xdr:row>23</xdr:row>
          <xdr:rowOff>0</xdr:rowOff>
        </xdr:to>
        <xdr:sp macro="" textlink="">
          <xdr:nvSpPr>
            <xdr:cNvPr id="1058" name="Drop Down 34" hidden="1">
              <a:extLst>
                <a:ext uri="{63B3BB69-23CF-44E3-9099-C40C66FF867C}">
                  <a14:compatExt spid="_x0000_s1058"/>
                </a:ext>
                <a:ext uri="{FF2B5EF4-FFF2-40B4-BE49-F238E27FC236}">
                  <a16:creationId xmlns:a16="http://schemas.microsoft.com/office/drawing/2014/main" id="{00000000-0008-0000-0300-000022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0</xdr:rowOff>
        </xdr:from>
        <xdr:to>
          <xdr:col>6</xdr:col>
          <xdr:colOff>25400</xdr:colOff>
          <xdr:row>28</xdr:row>
          <xdr:rowOff>25400</xdr:rowOff>
        </xdr:to>
        <xdr:sp macro="" textlink="">
          <xdr:nvSpPr>
            <xdr:cNvPr id="1071" name="Drop Down 47" hidden="1">
              <a:extLst>
                <a:ext uri="{63B3BB69-23CF-44E3-9099-C40C66FF867C}">
                  <a14:compatExt spid="_x0000_s1071"/>
                </a:ext>
                <a:ext uri="{FF2B5EF4-FFF2-40B4-BE49-F238E27FC236}">
                  <a16:creationId xmlns:a16="http://schemas.microsoft.com/office/drawing/2014/main" id="{00000000-0008-0000-0300-00002F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6</xdr:col>
          <xdr:colOff>38100</xdr:colOff>
          <xdr:row>37</xdr:row>
          <xdr:rowOff>0</xdr:rowOff>
        </xdr:to>
        <xdr:sp macro="" textlink="">
          <xdr:nvSpPr>
            <xdr:cNvPr id="1073" name="Drop Down 49" hidden="1">
              <a:extLst>
                <a:ext uri="{63B3BB69-23CF-44E3-9099-C40C66FF867C}">
                  <a14:compatExt spid="_x0000_s1073"/>
                </a:ext>
                <a:ext uri="{FF2B5EF4-FFF2-40B4-BE49-F238E27FC236}">
                  <a16:creationId xmlns:a16="http://schemas.microsoft.com/office/drawing/2014/main" id="{00000000-0008-0000-0300-000031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xdr:row>
          <xdr:rowOff>222250</xdr:rowOff>
        </xdr:from>
        <xdr:to>
          <xdr:col>6</xdr:col>
          <xdr:colOff>38100</xdr:colOff>
          <xdr:row>31</xdr:row>
          <xdr:rowOff>0</xdr:rowOff>
        </xdr:to>
        <xdr:sp macro="" textlink="">
          <xdr:nvSpPr>
            <xdr:cNvPr id="1075" name="Drop Down 51" hidden="1">
              <a:extLst>
                <a:ext uri="{63B3BB69-23CF-44E3-9099-C40C66FF867C}">
                  <a14:compatExt spid="_x0000_s1075"/>
                </a:ext>
                <a:ext uri="{FF2B5EF4-FFF2-40B4-BE49-F238E27FC236}">
                  <a16:creationId xmlns:a16="http://schemas.microsoft.com/office/drawing/2014/main" id="{00000000-0008-0000-0300-000033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222250</xdr:rowOff>
        </xdr:from>
        <xdr:to>
          <xdr:col>6</xdr:col>
          <xdr:colOff>38100</xdr:colOff>
          <xdr:row>29</xdr:row>
          <xdr:rowOff>0</xdr:rowOff>
        </xdr:to>
        <xdr:sp macro="" textlink="">
          <xdr:nvSpPr>
            <xdr:cNvPr id="1139" name="Drop Down 115" hidden="1">
              <a:extLst>
                <a:ext uri="{63B3BB69-23CF-44E3-9099-C40C66FF867C}">
                  <a14:compatExt spid="_x0000_s1139"/>
                </a:ext>
                <a:ext uri="{FF2B5EF4-FFF2-40B4-BE49-F238E27FC236}">
                  <a16:creationId xmlns:a16="http://schemas.microsoft.com/office/drawing/2014/main" id="{00000000-0008-0000-0300-000073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12700</xdr:rowOff>
        </xdr:from>
        <xdr:to>
          <xdr:col>7</xdr:col>
          <xdr:colOff>19050</xdr:colOff>
          <xdr:row>6</xdr:row>
          <xdr:rowOff>6350</xdr:rowOff>
        </xdr:to>
        <xdr:sp macro="" textlink="">
          <xdr:nvSpPr>
            <xdr:cNvPr id="1151" name="Group Box 127" hidden="1">
              <a:extLst>
                <a:ext uri="{63B3BB69-23CF-44E3-9099-C40C66FF867C}">
                  <a14:compatExt spid="_x0000_s1151"/>
                </a:ext>
                <a:ext uri="{FF2B5EF4-FFF2-40B4-BE49-F238E27FC236}">
                  <a16:creationId xmlns:a16="http://schemas.microsoft.com/office/drawing/2014/main" id="{00000000-0008-0000-0300-00007F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12700</xdr:rowOff>
        </xdr:from>
        <xdr:to>
          <xdr:col>13</xdr:col>
          <xdr:colOff>6350</xdr:colOff>
          <xdr:row>6</xdr:row>
          <xdr:rowOff>6350</xdr:rowOff>
        </xdr:to>
        <xdr:sp macro="" textlink="">
          <xdr:nvSpPr>
            <xdr:cNvPr id="1193" name="Group Box 169" hidden="1">
              <a:extLst>
                <a:ext uri="{63B3BB69-23CF-44E3-9099-C40C66FF867C}">
                  <a14:compatExt spid="_x0000_s1193"/>
                </a:ext>
                <a:ext uri="{FF2B5EF4-FFF2-40B4-BE49-F238E27FC236}">
                  <a16:creationId xmlns:a16="http://schemas.microsoft.com/office/drawing/2014/main" id="{00000000-0008-0000-0300-0000A9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3</xdr:row>
          <xdr:rowOff>146050</xdr:rowOff>
        </xdr:from>
        <xdr:to>
          <xdr:col>9</xdr:col>
          <xdr:colOff>0</xdr:colOff>
          <xdr:row>4</xdr:row>
          <xdr:rowOff>152400</xdr:rowOff>
        </xdr:to>
        <xdr:sp macro="" textlink="">
          <xdr:nvSpPr>
            <xdr:cNvPr id="1194" name="Option Button 170" hidden="1">
              <a:extLst>
                <a:ext uri="{63B3BB69-23CF-44E3-9099-C40C66FF867C}">
                  <a14:compatExt spid="_x0000_s1194"/>
                </a:ext>
                <a:ext uri="{FF2B5EF4-FFF2-40B4-BE49-F238E27FC236}">
                  <a16:creationId xmlns:a16="http://schemas.microsoft.com/office/drawing/2014/main" id="{00000000-0008-0000-03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4</xdr:row>
          <xdr:rowOff>133350</xdr:rowOff>
        </xdr:from>
        <xdr:to>
          <xdr:col>9</xdr:col>
          <xdr:colOff>0</xdr:colOff>
          <xdr:row>5</xdr:row>
          <xdr:rowOff>152400</xdr:rowOff>
        </xdr:to>
        <xdr:sp macro="" textlink="">
          <xdr:nvSpPr>
            <xdr:cNvPr id="1195" name="Option Button 171" hidden="1">
              <a:extLst>
                <a:ext uri="{63B3BB69-23CF-44E3-9099-C40C66FF867C}">
                  <a14:compatExt spid="_x0000_s1195"/>
                </a:ext>
                <a:ext uri="{FF2B5EF4-FFF2-40B4-BE49-F238E27FC236}">
                  <a16:creationId xmlns:a16="http://schemas.microsoft.com/office/drawing/2014/main" id="{00000000-0008-0000-03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222250</xdr:rowOff>
        </xdr:from>
        <xdr:to>
          <xdr:col>6</xdr:col>
          <xdr:colOff>38100</xdr:colOff>
          <xdr:row>37</xdr:row>
          <xdr:rowOff>228600</xdr:rowOff>
        </xdr:to>
        <xdr:sp macro="" textlink="">
          <xdr:nvSpPr>
            <xdr:cNvPr id="1207" name="Drop Down 183" hidden="1">
              <a:extLst>
                <a:ext uri="{63B3BB69-23CF-44E3-9099-C40C66FF867C}">
                  <a14:compatExt spid="_x0000_s1207"/>
                </a:ext>
                <a:ext uri="{FF2B5EF4-FFF2-40B4-BE49-F238E27FC236}">
                  <a16:creationId xmlns:a16="http://schemas.microsoft.com/office/drawing/2014/main" id="{00000000-0008-0000-0300-0000B7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xdr:row>
          <xdr:rowOff>12700</xdr:rowOff>
        </xdr:from>
        <xdr:to>
          <xdr:col>3</xdr:col>
          <xdr:colOff>342900</xdr:colOff>
          <xdr:row>4</xdr:row>
          <xdr:rowOff>25400</xdr:rowOff>
        </xdr:to>
        <xdr:sp macro="" textlink="">
          <xdr:nvSpPr>
            <xdr:cNvPr id="2" name="Option Button 184" hidden="1">
              <a:extLst>
                <a:ext uri="{63B3BB69-23CF-44E3-9099-C40C66FF867C}">
                  <a14:compatExt spid="_x0000_s1208"/>
                </a:ext>
                <a:ext uri="{FF2B5EF4-FFF2-40B4-BE49-F238E27FC236}">
                  <a16:creationId xmlns:a16="http://schemas.microsoft.com/office/drawing/2014/main" id="{00000000-0008-0000-03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241300</xdr:rowOff>
        </xdr:from>
        <xdr:to>
          <xdr:col>6</xdr:col>
          <xdr:colOff>38100</xdr:colOff>
          <xdr:row>24</xdr:row>
          <xdr:rowOff>0</xdr:rowOff>
        </xdr:to>
        <xdr:sp macro="" textlink="">
          <xdr:nvSpPr>
            <xdr:cNvPr id="1215" name="Drop Down 191" hidden="1">
              <a:extLst>
                <a:ext uri="{63B3BB69-23CF-44E3-9099-C40C66FF867C}">
                  <a14:compatExt spid="_x0000_s1215"/>
                </a:ext>
                <a:ext uri="{FF2B5EF4-FFF2-40B4-BE49-F238E27FC236}">
                  <a16:creationId xmlns:a16="http://schemas.microsoft.com/office/drawing/2014/main" id="{00000000-0008-0000-0300-0000BF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xdr:row>
          <xdr:rowOff>228600</xdr:rowOff>
        </xdr:from>
        <xdr:to>
          <xdr:col>6</xdr:col>
          <xdr:colOff>38100</xdr:colOff>
          <xdr:row>29</xdr:row>
          <xdr:rowOff>215900</xdr:rowOff>
        </xdr:to>
        <xdr:sp macro="" textlink="">
          <xdr:nvSpPr>
            <xdr:cNvPr id="1216" name="Drop Down 192" hidden="1">
              <a:extLst>
                <a:ext uri="{63B3BB69-23CF-44E3-9099-C40C66FF867C}">
                  <a14:compatExt spid="_x0000_s1216"/>
                </a:ext>
                <a:ext uri="{FF2B5EF4-FFF2-40B4-BE49-F238E27FC236}">
                  <a16:creationId xmlns:a16="http://schemas.microsoft.com/office/drawing/2014/main" id="{00000000-0008-0000-0300-0000C0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xdr:twoCellAnchor>
    <xdr:from>
      <xdr:col>3</xdr:col>
      <xdr:colOff>240549</xdr:colOff>
      <xdr:row>9</xdr:row>
      <xdr:rowOff>74758</xdr:rowOff>
    </xdr:from>
    <xdr:to>
      <xdr:col>3</xdr:col>
      <xdr:colOff>836864</xdr:colOff>
      <xdr:row>10</xdr:row>
      <xdr:rowOff>62058</xdr:rowOff>
    </xdr:to>
    <xdr:sp macro="" textlink="">
      <xdr:nvSpPr>
        <xdr:cNvPr id="37" name="Text 27">
          <a:extLst>
            <a:ext uri="{FF2B5EF4-FFF2-40B4-BE49-F238E27FC236}">
              <a16:creationId xmlns:a16="http://schemas.microsoft.com/office/drawing/2014/main" id="{00000000-0008-0000-0400-000025000000}"/>
            </a:ext>
          </a:extLst>
        </xdr:cNvPr>
        <xdr:cNvSpPr txBox="1">
          <a:spLocks noChangeArrowheads="1"/>
        </xdr:cNvSpPr>
      </xdr:nvSpPr>
      <xdr:spPr bwMode="auto">
        <a:xfrm>
          <a:off x="812049" y="1555463"/>
          <a:ext cx="596315" cy="229754"/>
        </a:xfrm>
        <a:prstGeom prst="rect">
          <a:avLst/>
        </a:prstGeom>
        <a:solidFill>
          <a:srgbClr val="FFFFE0"/>
        </a:solidFill>
        <a:ln>
          <a:noFill/>
        </a:ln>
      </xdr:spPr>
      <xdr:txBody>
        <a:bodyPr vertOverflow="clip" wrap="square" lIns="36576" tIns="22860" rIns="0" bIns="0" anchor="t" upright="1"/>
        <a:lstStyle/>
        <a:p>
          <a:pPr algn="l" rtl="0">
            <a:defRPr sz="1000"/>
          </a:pPr>
          <a:r>
            <a:rPr lang="de-DE" sz="1000" b="0" i="0" u="none" strike="noStrike" baseline="0">
              <a:solidFill>
                <a:schemeClr val="bg1"/>
              </a:solidFill>
              <a:latin typeface="Arial"/>
              <a:cs typeface="Arial"/>
            </a:rPr>
            <a:t>TMR</a:t>
          </a:r>
        </a:p>
        <a:p>
          <a:pPr algn="l" rtl="0">
            <a:defRPr sz="1000"/>
          </a:pPr>
          <a:endParaRPr lang="de-DE" sz="700">
            <a:solidFill>
              <a:schemeClr val="bg1"/>
            </a:solidFill>
          </a:endParaRPr>
        </a:p>
      </xdr:txBody>
    </xdr:sp>
    <xdr:clientData/>
  </xdr:twoCellAnchor>
  <xdr:twoCellAnchor editAs="oneCell">
    <xdr:from>
      <xdr:col>29</xdr:col>
      <xdr:colOff>238125</xdr:colOff>
      <xdr:row>0</xdr:row>
      <xdr:rowOff>68791</xdr:rowOff>
    </xdr:from>
    <xdr:to>
      <xdr:col>37</xdr:col>
      <xdr:colOff>467699</xdr:colOff>
      <xdr:row>3</xdr:row>
      <xdr:rowOff>116583</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16213667" y="68791"/>
          <a:ext cx="1772998" cy="360000"/>
        </a:xfrm>
        <a:prstGeom prst="rect">
          <a:avLst/>
        </a:prstGeom>
      </xdr:spPr>
    </xdr:pic>
    <xdr:clientData/>
  </xdr:twoCellAnchor>
  <xdr:twoCellAnchor>
    <xdr:from>
      <xdr:col>13</xdr:col>
      <xdr:colOff>381000</xdr:colOff>
      <xdr:row>11</xdr:row>
      <xdr:rowOff>17145</xdr:rowOff>
    </xdr:from>
    <xdr:to>
      <xdr:col>13</xdr:col>
      <xdr:colOff>381000</xdr:colOff>
      <xdr:row>11</xdr:row>
      <xdr:rowOff>207645</xdr:rowOff>
    </xdr:to>
    <xdr:sp macro="" textlink="">
      <xdr:nvSpPr>
        <xdr:cNvPr id="7" name="Line 6">
          <a:extLst>
            <a:ext uri="{FF2B5EF4-FFF2-40B4-BE49-F238E27FC236}">
              <a16:creationId xmlns:a16="http://schemas.microsoft.com/office/drawing/2014/main" id="{68A1909B-C879-4B73-B872-EEE382CAAA3A}"/>
            </a:ext>
          </a:extLst>
        </xdr:cNvPr>
        <xdr:cNvSpPr>
          <a:spLocks noChangeShapeType="1"/>
        </xdr:cNvSpPr>
      </xdr:nvSpPr>
      <xdr:spPr bwMode="auto">
        <a:xfrm>
          <a:off x="8096250" y="1931670"/>
          <a:ext cx="0" cy="190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88900</xdr:colOff>
      <xdr:row>0</xdr:row>
      <xdr:rowOff>38100</xdr:rowOff>
    </xdr:from>
    <xdr:to>
      <xdr:col>21</xdr:col>
      <xdr:colOff>1348</xdr:colOff>
      <xdr:row>1</xdr:row>
      <xdr:rowOff>159975</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13620750" y="38100"/>
          <a:ext cx="1772998" cy="36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838200</xdr:colOff>
      <xdr:row>0</xdr:row>
      <xdr:rowOff>31750</xdr:rowOff>
    </xdr:from>
    <xdr:to>
      <xdr:col>1</xdr:col>
      <xdr:colOff>1724698</xdr:colOff>
      <xdr:row>1</xdr:row>
      <xdr:rowOff>8550</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1803400" y="31750"/>
          <a:ext cx="886498" cy="18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LGW\Landwirtschaftlicher_Betrieb\Viehhaltung\Futter\Analysen\Analysen_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fassung"/>
      <sheetName val="Zusammenstellung"/>
      <sheetName val="Transfer"/>
    </sheetNames>
    <sheetDataSet>
      <sheetData sheetId="0">
        <row r="13">
          <cell r="B13" t="str">
            <v>Futter</v>
          </cell>
          <cell r="C13" t="str">
            <v>Probe</v>
          </cell>
          <cell r="D13" t="str">
            <v>E.Jahr</v>
          </cell>
          <cell r="E13" t="str">
            <v>TS</v>
          </cell>
          <cell r="F13" t="str">
            <v>XP</v>
          </cell>
          <cell r="G13" t="str">
            <v>XF</v>
          </cell>
          <cell r="H13" t="str">
            <v>XL</v>
          </cell>
          <cell r="I13" t="str">
            <v>XA</v>
          </cell>
          <cell r="J13" t="str">
            <v>ADF</v>
          </cell>
          <cell r="K13" t="str">
            <v>NDF</v>
          </cell>
          <cell r="L13" t="str">
            <v>P</v>
          </cell>
          <cell r="M13" t="str">
            <v>K</v>
          </cell>
          <cell r="N13" t="str">
            <v>Ca</v>
          </cell>
          <cell r="O13" t="str">
            <v>Na</v>
          </cell>
          <cell r="P13" t="str">
            <v>Mg</v>
          </cell>
          <cell r="Q13" t="str">
            <v>UDP</v>
          </cell>
          <cell r="R13" t="str">
            <v>nXP</v>
          </cell>
          <cell r="S13" t="str">
            <v>ME</v>
          </cell>
          <cell r="T13" t="str">
            <v>NEL</v>
          </cell>
          <cell r="U13" t="str">
            <v>SW</v>
          </cell>
          <cell r="V13" t="str">
            <v>XZ</v>
          </cell>
          <cell r="W13" t="str">
            <v>RNB</v>
          </cell>
          <cell r="X13" t="str">
            <v>NFC</v>
          </cell>
          <cell r="Y13" t="str">
            <v>Spalte1</v>
          </cell>
        </row>
        <row r="14">
          <cell r="B14" t="str">
            <v>Rohglycerin</v>
          </cell>
          <cell r="C14" t="str">
            <v>00001</v>
          </cell>
          <cell r="D14" t="str">
            <v>2013</v>
          </cell>
          <cell r="E14">
            <v>88</v>
          </cell>
          <cell r="F14">
            <v>0</v>
          </cell>
          <cell r="G14">
            <v>0</v>
          </cell>
          <cell r="H14">
            <v>95</v>
          </cell>
          <cell r="I14">
            <v>20</v>
          </cell>
          <cell r="J14">
            <v>0</v>
          </cell>
          <cell r="K14">
            <v>0</v>
          </cell>
          <cell r="S14">
            <v>0</v>
          </cell>
          <cell r="W14">
            <v>0</v>
          </cell>
          <cell r="X14">
            <v>885</v>
          </cell>
          <cell r="Y14">
            <v>0</v>
          </cell>
        </row>
        <row r="15">
          <cell r="B15" t="str">
            <v>Silo 2</v>
          </cell>
          <cell r="C15" t="str">
            <v>00002</v>
          </cell>
          <cell r="D15">
            <v>2013</v>
          </cell>
          <cell r="E15">
            <v>47.4</v>
          </cell>
          <cell r="S15">
            <v>0</v>
          </cell>
          <cell r="W15">
            <v>0</v>
          </cell>
          <cell r="X15">
            <v>1000</v>
          </cell>
          <cell r="Y15">
            <v>0</v>
          </cell>
        </row>
        <row r="16">
          <cell r="B16" t="str">
            <v>Treber</v>
          </cell>
          <cell r="C16">
            <v>18242</v>
          </cell>
          <cell r="D16">
            <v>2014</v>
          </cell>
          <cell r="E16">
            <v>23.2</v>
          </cell>
          <cell r="F16">
            <v>264</v>
          </cell>
          <cell r="G16">
            <v>194</v>
          </cell>
          <cell r="H16">
            <v>73</v>
          </cell>
          <cell r="I16">
            <v>41</v>
          </cell>
          <cell r="J16">
            <v>268</v>
          </cell>
          <cell r="K16">
            <v>547</v>
          </cell>
          <cell r="L16">
            <v>9.6</v>
          </cell>
          <cell r="M16">
            <v>2.2000000000000002</v>
          </cell>
          <cell r="N16">
            <v>6.6</v>
          </cell>
          <cell r="O16">
            <v>0.2</v>
          </cell>
          <cell r="P16">
            <v>2</v>
          </cell>
          <cell r="R16">
            <v>212</v>
          </cell>
          <cell r="S16">
            <v>0</v>
          </cell>
          <cell r="T16">
            <v>6.65</v>
          </cell>
          <cell r="W16">
            <v>8.32</v>
          </cell>
          <cell r="X16">
            <v>75</v>
          </cell>
          <cell r="Y16">
            <v>0</v>
          </cell>
        </row>
        <row r="17">
          <cell r="B17" t="str">
            <v>Heu, 2. S.</v>
          </cell>
          <cell r="C17">
            <v>80583</v>
          </cell>
          <cell r="D17">
            <v>2011</v>
          </cell>
          <cell r="E17">
            <v>86.3</v>
          </cell>
          <cell r="F17">
            <v>141</v>
          </cell>
          <cell r="G17">
            <v>297</v>
          </cell>
          <cell r="H17">
            <v>26</v>
          </cell>
          <cell r="I17">
            <v>98</v>
          </cell>
          <cell r="J17">
            <v>317</v>
          </cell>
          <cell r="K17">
            <v>554</v>
          </cell>
          <cell r="L17">
            <v>4.5</v>
          </cell>
          <cell r="M17">
            <v>30</v>
          </cell>
          <cell r="N17">
            <v>5.8</v>
          </cell>
          <cell r="O17">
            <v>3.2</v>
          </cell>
          <cell r="P17">
            <v>2.1</v>
          </cell>
          <cell r="R17">
            <v>133</v>
          </cell>
          <cell r="S17">
            <v>0</v>
          </cell>
          <cell r="T17">
            <v>5.59</v>
          </cell>
          <cell r="U17">
            <v>3.4740000000000002</v>
          </cell>
          <cell r="W17">
            <v>1.28</v>
          </cell>
          <cell r="X17">
            <v>181</v>
          </cell>
          <cell r="Y17">
            <v>0</v>
          </cell>
        </row>
        <row r="18">
          <cell r="B18" t="str">
            <v>Heu, 2. S.</v>
          </cell>
          <cell r="C18">
            <v>80583</v>
          </cell>
          <cell r="D18">
            <v>2011</v>
          </cell>
          <cell r="E18">
            <v>86.3</v>
          </cell>
          <cell r="F18">
            <v>141</v>
          </cell>
          <cell r="G18">
            <v>297</v>
          </cell>
          <cell r="H18">
            <v>26</v>
          </cell>
          <cell r="I18">
            <v>98</v>
          </cell>
          <cell r="J18">
            <v>317</v>
          </cell>
          <cell r="K18">
            <v>554</v>
          </cell>
          <cell r="L18">
            <v>4.5</v>
          </cell>
          <cell r="M18">
            <v>30</v>
          </cell>
          <cell r="N18">
            <v>5.8</v>
          </cell>
          <cell r="O18">
            <v>1.6</v>
          </cell>
          <cell r="P18">
            <v>2.1</v>
          </cell>
          <cell r="R18">
            <v>133</v>
          </cell>
          <cell r="S18">
            <v>0</v>
          </cell>
          <cell r="T18">
            <v>5.59</v>
          </cell>
          <cell r="U18">
            <v>3.4740000000000002</v>
          </cell>
          <cell r="W18">
            <v>1.28</v>
          </cell>
          <cell r="X18">
            <v>181</v>
          </cell>
          <cell r="Y18">
            <v>0</v>
          </cell>
        </row>
        <row r="19">
          <cell r="B19" t="str">
            <v>Silo 5</v>
          </cell>
          <cell r="C19">
            <v>80593</v>
          </cell>
          <cell r="D19">
            <v>2011</v>
          </cell>
          <cell r="E19">
            <v>33.200000000000003</v>
          </cell>
          <cell r="F19">
            <v>174</v>
          </cell>
          <cell r="G19">
            <v>232</v>
          </cell>
          <cell r="H19">
            <v>38</v>
          </cell>
          <cell r="I19">
            <v>111</v>
          </cell>
          <cell r="J19">
            <v>236</v>
          </cell>
          <cell r="K19">
            <v>384</v>
          </cell>
          <cell r="L19">
            <v>5.0999999999999996</v>
          </cell>
          <cell r="M19">
            <v>34</v>
          </cell>
          <cell r="N19">
            <v>5.9</v>
          </cell>
          <cell r="O19">
            <v>1.5</v>
          </cell>
          <cell r="P19">
            <v>2.1</v>
          </cell>
          <cell r="R19">
            <v>148</v>
          </cell>
          <cell r="S19">
            <v>0</v>
          </cell>
          <cell r="T19">
            <v>6.78</v>
          </cell>
          <cell r="U19">
            <v>2.4540000000000002</v>
          </cell>
          <cell r="V19">
            <v>67</v>
          </cell>
          <cell r="W19">
            <v>4.16</v>
          </cell>
          <cell r="X19">
            <v>293</v>
          </cell>
          <cell r="Y19">
            <v>0</v>
          </cell>
        </row>
        <row r="20">
          <cell r="B20" t="str">
            <v>Silo 7</v>
          </cell>
          <cell r="C20">
            <v>80594</v>
          </cell>
          <cell r="D20">
            <v>2011</v>
          </cell>
          <cell r="E20">
            <v>37.1</v>
          </cell>
          <cell r="F20">
            <v>136</v>
          </cell>
          <cell r="G20">
            <v>276</v>
          </cell>
          <cell r="H20">
            <v>31</v>
          </cell>
          <cell r="I20">
            <v>105</v>
          </cell>
          <cell r="J20">
            <v>299</v>
          </cell>
          <cell r="K20">
            <v>489</v>
          </cell>
          <cell r="L20">
            <v>4.0999999999999996</v>
          </cell>
          <cell r="M20">
            <v>23</v>
          </cell>
          <cell r="N20">
            <v>5.9</v>
          </cell>
          <cell r="O20">
            <v>1.8</v>
          </cell>
          <cell r="P20">
            <v>2.2999999999999998</v>
          </cell>
          <cell r="R20">
            <v>127</v>
          </cell>
          <cell r="S20">
            <v>0</v>
          </cell>
          <cell r="T20">
            <v>5.74</v>
          </cell>
          <cell r="U20">
            <v>3.0840000000000001</v>
          </cell>
          <cell r="V20">
            <v>63</v>
          </cell>
          <cell r="W20">
            <v>1.44</v>
          </cell>
          <cell r="X20">
            <v>239</v>
          </cell>
          <cell r="Y20">
            <v>0</v>
          </cell>
        </row>
        <row r="21">
          <cell r="B21" t="str">
            <v>Silo 9</v>
          </cell>
          <cell r="C21">
            <v>80595</v>
          </cell>
          <cell r="D21">
            <v>2011</v>
          </cell>
          <cell r="E21">
            <v>51.4</v>
          </cell>
          <cell r="F21">
            <v>138</v>
          </cell>
          <cell r="G21">
            <v>300</v>
          </cell>
          <cell r="H21">
            <v>27</v>
          </cell>
          <cell r="I21">
            <v>118</v>
          </cell>
          <cell r="J21">
            <v>300</v>
          </cell>
          <cell r="K21">
            <v>473</v>
          </cell>
          <cell r="L21">
            <v>3.9</v>
          </cell>
          <cell r="M21">
            <v>26</v>
          </cell>
          <cell r="N21">
            <v>6.3</v>
          </cell>
          <cell r="O21">
            <v>0.6</v>
          </cell>
          <cell r="P21">
            <v>2.6</v>
          </cell>
          <cell r="R21">
            <v>124</v>
          </cell>
          <cell r="S21">
            <v>0</v>
          </cell>
          <cell r="T21">
            <v>5.56</v>
          </cell>
          <cell r="U21">
            <v>2.988</v>
          </cell>
          <cell r="V21">
            <v>94</v>
          </cell>
          <cell r="W21">
            <v>2.2400000000000002</v>
          </cell>
          <cell r="X21">
            <v>244</v>
          </cell>
          <cell r="Y21">
            <v>0</v>
          </cell>
        </row>
        <row r="22">
          <cell r="B22" t="str">
            <v>Heu, 2. S.</v>
          </cell>
          <cell r="C22">
            <v>80600</v>
          </cell>
          <cell r="D22">
            <v>2011</v>
          </cell>
          <cell r="E22">
            <v>90.3</v>
          </cell>
          <cell r="F22">
            <v>141</v>
          </cell>
          <cell r="G22">
            <v>269</v>
          </cell>
          <cell r="H22">
            <v>30</v>
          </cell>
          <cell r="I22">
            <v>111</v>
          </cell>
          <cell r="J22">
            <v>302</v>
          </cell>
          <cell r="K22">
            <v>491</v>
          </cell>
          <cell r="L22">
            <v>5.5</v>
          </cell>
          <cell r="M22">
            <v>36</v>
          </cell>
          <cell r="N22">
            <v>6</v>
          </cell>
          <cell r="O22">
            <v>1.2</v>
          </cell>
          <cell r="P22">
            <v>2</v>
          </cell>
          <cell r="R22">
            <v>138</v>
          </cell>
          <cell r="S22">
            <v>0</v>
          </cell>
          <cell r="T22">
            <v>5.94</v>
          </cell>
          <cell r="U22">
            <v>3.0960000000000001</v>
          </cell>
          <cell r="W22">
            <v>0.48</v>
          </cell>
          <cell r="X22">
            <v>227</v>
          </cell>
          <cell r="Y22">
            <v>0</v>
          </cell>
        </row>
        <row r="23">
          <cell r="B23" t="str">
            <v>Silo 9</v>
          </cell>
          <cell r="C23">
            <v>80602</v>
          </cell>
          <cell r="D23">
            <v>2011</v>
          </cell>
          <cell r="E23">
            <v>49.2</v>
          </cell>
          <cell r="F23">
            <v>134</v>
          </cell>
          <cell r="G23">
            <v>303</v>
          </cell>
          <cell r="H23">
            <v>32</v>
          </cell>
          <cell r="I23">
            <v>113</v>
          </cell>
          <cell r="J23">
            <v>321</v>
          </cell>
          <cell r="K23">
            <v>507</v>
          </cell>
          <cell r="L23">
            <v>4.9000000000000004</v>
          </cell>
          <cell r="M23">
            <v>24</v>
          </cell>
          <cell r="N23">
            <v>6</v>
          </cell>
          <cell r="O23">
            <v>0.5</v>
          </cell>
          <cell r="P23">
            <v>2</v>
          </cell>
          <cell r="R23">
            <v>125</v>
          </cell>
          <cell r="S23">
            <v>0</v>
          </cell>
          <cell r="T23">
            <v>5.65</v>
          </cell>
          <cell r="U23">
            <v>3.1920000000000002</v>
          </cell>
          <cell r="W23">
            <v>1.44</v>
          </cell>
          <cell r="X23">
            <v>214</v>
          </cell>
          <cell r="Y23">
            <v>0</v>
          </cell>
        </row>
        <row r="24">
          <cell r="B24" t="str">
            <v>Silo 9</v>
          </cell>
          <cell r="C24">
            <v>80605</v>
          </cell>
          <cell r="D24">
            <v>2011</v>
          </cell>
          <cell r="E24">
            <v>49.8</v>
          </cell>
          <cell r="F24">
            <v>117</v>
          </cell>
          <cell r="G24">
            <v>262</v>
          </cell>
          <cell r="H24">
            <v>31</v>
          </cell>
          <cell r="I24">
            <v>145</v>
          </cell>
          <cell r="J24">
            <v>295</v>
          </cell>
          <cell r="K24">
            <v>462</v>
          </cell>
          <cell r="L24">
            <v>4.2</v>
          </cell>
          <cell r="M24">
            <v>24</v>
          </cell>
          <cell r="N24">
            <v>6.3</v>
          </cell>
          <cell r="O24">
            <v>0.5</v>
          </cell>
          <cell r="P24">
            <v>2.5</v>
          </cell>
          <cell r="R24">
            <v>124</v>
          </cell>
          <cell r="S24">
            <v>0</v>
          </cell>
          <cell r="T24">
            <v>5.81</v>
          </cell>
          <cell r="U24">
            <v>2.9220000000000002</v>
          </cell>
          <cell r="W24">
            <v>-1.1200000000000001</v>
          </cell>
          <cell r="X24">
            <v>245</v>
          </cell>
          <cell r="Y24">
            <v>0</v>
          </cell>
        </row>
        <row r="25">
          <cell r="B25" t="str">
            <v>Heu, 2. S.</v>
          </cell>
          <cell r="C25">
            <v>80610</v>
          </cell>
          <cell r="D25">
            <v>2011</v>
          </cell>
          <cell r="E25">
            <v>87.7</v>
          </cell>
          <cell r="F25">
            <v>127</v>
          </cell>
          <cell r="G25">
            <v>272</v>
          </cell>
          <cell r="H25">
            <v>29</v>
          </cell>
          <cell r="I25">
            <v>89</v>
          </cell>
          <cell r="J25">
            <v>298</v>
          </cell>
          <cell r="K25">
            <v>495</v>
          </cell>
          <cell r="L25">
            <v>5.0999999999999996</v>
          </cell>
          <cell r="M25">
            <v>22</v>
          </cell>
          <cell r="N25">
            <v>5.2</v>
          </cell>
          <cell r="O25">
            <v>1.3</v>
          </cell>
          <cell r="P25">
            <v>2.5</v>
          </cell>
          <cell r="R25">
            <v>135</v>
          </cell>
          <cell r="S25">
            <v>0</v>
          </cell>
          <cell r="T25">
            <v>5.91</v>
          </cell>
          <cell r="U25">
            <v>3.12</v>
          </cell>
          <cell r="W25">
            <v>-1.28</v>
          </cell>
          <cell r="X25">
            <v>260</v>
          </cell>
          <cell r="Y25">
            <v>0</v>
          </cell>
        </row>
        <row r="26">
          <cell r="B26" t="str">
            <v>WGM 30/35/35</v>
          </cell>
          <cell r="C26">
            <v>80611</v>
          </cell>
          <cell r="D26">
            <v>2011</v>
          </cell>
          <cell r="E26">
            <v>89.1</v>
          </cell>
          <cell r="F26">
            <v>123</v>
          </cell>
          <cell r="G26">
            <v>39</v>
          </cell>
          <cell r="H26">
            <v>36</v>
          </cell>
          <cell r="I26">
            <v>24</v>
          </cell>
          <cell r="J26">
            <v>46</v>
          </cell>
          <cell r="K26">
            <v>294</v>
          </cell>
          <cell r="L26">
            <v>5.3</v>
          </cell>
          <cell r="M26">
            <v>7</v>
          </cell>
          <cell r="N26">
            <v>0.7</v>
          </cell>
          <cell r="O26">
            <v>0.1</v>
          </cell>
          <cell r="P26">
            <v>1.5</v>
          </cell>
          <cell r="R26">
            <v>174</v>
          </cell>
          <cell r="S26">
            <v>0</v>
          </cell>
          <cell r="T26">
            <v>9</v>
          </cell>
          <cell r="W26">
            <v>-8.16</v>
          </cell>
          <cell r="X26">
            <v>523</v>
          </cell>
          <cell r="Y26">
            <v>0</v>
          </cell>
        </row>
        <row r="27">
          <cell r="B27" t="str">
            <v>RES</v>
          </cell>
          <cell r="C27">
            <v>80612</v>
          </cell>
          <cell r="D27" t="str">
            <v>2011a</v>
          </cell>
          <cell r="E27">
            <v>88.6</v>
          </cell>
          <cell r="F27">
            <v>374</v>
          </cell>
          <cell r="G27">
            <v>150</v>
          </cell>
          <cell r="H27">
            <v>26</v>
          </cell>
          <cell r="I27">
            <v>78</v>
          </cell>
          <cell r="J27">
            <v>244</v>
          </cell>
          <cell r="K27">
            <v>368</v>
          </cell>
          <cell r="L27">
            <v>15.6</v>
          </cell>
          <cell r="M27">
            <v>15</v>
          </cell>
          <cell r="N27">
            <v>7</v>
          </cell>
          <cell r="O27">
            <v>0.5</v>
          </cell>
          <cell r="P27">
            <v>4.9000000000000004</v>
          </cell>
          <cell r="R27">
            <v>279</v>
          </cell>
          <cell r="S27">
            <v>0</v>
          </cell>
          <cell r="T27">
            <v>7.31</v>
          </cell>
          <cell r="U27">
            <v>0.36</v>
          </cell>
          <cell r="W27">
            <v>15.2</v>
          </cell>
          <cell r="X27">
            <v>154</v>
          </cell>
          <cell r="Y27">
            <v>0</v>
          </cell>
        </row>
        <row r="28">
          <cell r="B28" t="str">
            <v>Silo 9</v>
          </cell>
          <cell r="C28">
            <v>80614</v>
          </cell>
          <cell r="D28">
            <v>2011</v>
          </cell>
          <cell r="E28">
            <v>42.6</v>
          </cell>
          <cell r="F28">
            <v>116</v>
          </cell>
          <cell r="G28">
            <v>308</v>
          </cell>
          <cell r="H28">
            <v>28</v>
          </cell>
          <cell r="I28">
            <v>112</v>
          </cell>
          <cell r="J28">
            <v>340</v>
          </cell>
          <cell r="K28">
            <v>501</v>
          </cell>
          <cell r="L28">
            <v>4.5999999999999996</v>
          </cell>
          <cell r="M28">
            <v>26</v>
          </cell>
          <cell r="N28">
            <v>6.6</v>
          </cell>
          <cell r="O28">
            <v>0.5</v>
          </cell>
          <cell r="P28">
            <v>2.4</v>
          </cell>
          <cell r="R28">
            <v>115</v>
          </cell>
          <cell r="S28">
            <v>0</v>
          </cell>
          <cell r="T28">
            <v>5.22</v>
          </cell>
          <cell r="U28">
            <v>3.1560000000000001</v>
          </cell>
          <cell r="W28">
            <v>0.16</v>
          </cell>
          <cell r="X28">
            <v>243</v>
          </cell>
          <cell r="Y28">
            <v>0</v>
          </cell>
        </row>
        <row r="29">
          <cell r="B29" t="str">
            <v>Silo 3</v>
          </cell>
          <cell r="C29">
            <v>80615</v>
          </cell>
          <cell r="D29">
            <v>2011</v>
          </cell>
          <cell r="E29">
            <v>37.299999999999997</v>
          </cell>
          <cell r="F29">
            <v>79</v>
          </cell>
          <cell r="G29">
            <v>179</v>
          </cell>
          <cell r="H29">
            <v>44</v>
          </cell>
          <cell r="I29">
            <v>43</v>
          </cell>
          <cell r="J29">
            <v>244</v>
          </cell>
          <cell r="K29">
            <v>342</v>
          </cell>
          <cell r="L29">
            <v>3.6</v>
          </cell>
          <cell r="M29">
            <v>11</v>
          </cell>
          <cell r="N29">
            <v>2.2999999999999998</v>
          </cell>
          <cell r="O29">
            <v>0.2</v>
          </cell>
          <cell r="P29">
            <v>1.7</v>
          </cell>
          <cell r="R29">
            <v>140</v>
          </cell>
          <cell r="S29">
            <v>0</v>
          </cell>
          <cell r="T29">
            <v>6.74</v>
          </cell>
          <cell r="U29">
            <v>1.5412800000000002</v>
          </cell>
          <cell r="V29">
            <v>2.1621621621621623</v>
          </cell>
          <cell r="W29">
            <v>-9.76</v>
          </cell>
          <cell r="X29">
            <v>492</v>
          </cell>
          <cell r="Y29">
            <v>0</v>
          </cell>
        </row>
        <row r="30">
          <cell r="B30" t="str">
            <v>Silo 6</v>
          </cell>
          <cell r="C30">
            <v>80616</v>
          </cell>
          <cell r="D30">
            <v>2011</v>
          </cell>
          <cell r="E30">
            <v>37.200000000000003</v>
          </cell>
          <cell r="F30">
            <v>77</v>
          </cell>
          <cell r="G30">
            <v>165</v>
          </cell>
          <cell r="H30">
            <v>41</v>
          </cell>
          <cell r="I30">
            <v>39</v>
          </cell>
          <cell r="J30">
            <v>258</v>
          </cell>
          <cell r="K30">
            <v>313</v>
          </cell>
          <cell r="L30">
            <v>3.4</v>
          </cell>
          <cell r="M30">
            <v>11</v>
          </cell>
          <cell r="N30">
            <v>1.8</v>
          </cell>
          <cell r="O30">
            <v>0.1</v>
          </cell>
          <cell r="P30">
            <v>1.6</v>
          </cell>
          <cell r="R30">
            <v>142</v>
          </cell>
          <cell r="S30">
            <v>0</v>
          </cell>
          <cell r="T30">
            <v>7.33</v>
          </cell>
          <cell r="U30">
            <v>1.3603200000000004</v>
          </cell>
          <cell r="V30">
            <v>1.0810810810810811</v>
          </cell>
          <cell r="W30">
            <v>-10.4</v>
          </cell>
          <cell r="X30">
            <v>530</v>
          </cell>
          <cell r="Y30">
            <v>0</v>
          </cell>
        </row>
        <row r="31">
          <cell r="B31" t="str">
            <v>Silo 8</v>
          </cell>
          <cell r="C31">
            <v>80617</v>
          </cell>
          <cell r="D31">
            <v>2011</v>
          </cell>
          <cell r="E31">
            <v>39</v>
          </cell>
          <cell r="F31">
            <v>75</v>
          </cell>
          <cell r="G31">
            <v>200</v>
          </cell>
          <cell r="H31">
            <v>43</v>
          </cell>
          <cell r="I31">
            <v>42</v>
          </cell>
          <cell r="J31">
            <v>248</v>
          </cell>
          <cell r="K31">
            <v>393</v>
          </cell>
          <cell r="L31">
            <v>3.6</v>
          </cell>
          <cell r="M31">
            <v>11</v>
          </cell>
          <cell r="N31">
            <v>2</v>
          </cell>
          <cell r="O31">
            <v>0.1</v>
          </cell>
          <cell r="P31">
            <v>1.7</v>
          </cell>
          <cell r="R31">
            <v>138</v>
          </cell>
          <cell r="S31">
            <v>0</v>
          </cell>
          <cell r="T31">
            <v>7.07</v>
          </cell>
          <cell r="U31">
            <v>1.8595200000000003</v>
          </cell>
          <cell r="V31">
            <v>1.8918918918918919</v>
          </cell>
          <cell r="W31">
            <v>-10.08</v>
          </cell>
          <cell r="X31">
            <v>447</v>
          </cell>
          <cell r="Y31">
            <v>0</v>
          </cell>
        </row>
        <row r="32">
          <cell r="B32" t="str">
            <v>Silo 9</v>
          </cell>
          <cell r="C32">
            <v>80620</v>
          </cell>
          <cell r="D32">
            <v>2011</v>
          </cell>
          <cell r="E32">
            <v>42.7</v>
          </cell>
          <cell r="F32">
            <v>118</v>
          </cell>
          <cell r="G32">
            <v>289</v>
          </cell>
          <cell r="H32">
            <v>27</v>
          </cell>
          <cell r="I32">
            <v>120</v>
          </cell>
          <cell r="J32">
            <v>353</v>
          </cell>
          <cell r="K32">
            <v>489</v>
          </cell>
          <cell r="L32">
            <v>4.5</v>
          </cell>
          <cell r="M32">
            <v>26</v>
          </cell>
          <cell r="N32">
            <v>5.8</v>
          </cell>
          <cell r="O32">
            <v>0.4</v>
          </cell>
          <cell r="P32">
            <v>2.2000000000000002</v>
          </cell>
          <cell r="R32">
            <v>115</v>
          </cell>
          <cell r="S32">
            <v>0</v>
          </cell>
          <cell r="T32">
            <v>5.19</v>
          </cell>
          <cell r="U32">
            <v>3.0840000000000001</v>
          </cell>
          <cell r="W32">
            <v>0.48</v>
          </cell>
          <cell r="X32">
            <v>246</v>
          </cell>
          <cell r="Y32">
            <v>0</v>
          </cell>
        </row>
        <row r="33">
          <cell r="B33" t="str">
            <v>Silo 9</v>
          </cell>
          <cell r="C33">
            <v>80620</v>
          </cell>
          <cell r="D33">
            <v>2011</v>
          </cell>
          <cell r="E33">
            <v>42.7</v>
          </cell>
          <cell r="F33">
            <v>118</v>
          </cell>
          <cell r="G33">
            <v>289</v>
          </cell>
          <cell r="H33">
            <v>27</v>
          </cell>
          <cell r="I33">
            <v>120</v>
          </cell>
          <cell r="J33">
            <v>353</v>
          </cell>
          <cell r="K33">
            <v>489</v>
          </cell>
          <cell r="L33">
            <v>4.5</v>
          </cell>
          <cell r="M33">
            <v>26</v>
          </cell>
          <cell r="N33">
            <v>5.8</v>
          </cell>
          <cell r="O33">
            <v>0.4</v>
          </cell>
          <cell r="P33">
            <v>2.2000000000000002</v>
          </cell>
          <cell r="R33">
            <v>115</v>
          </cell>
          <cell r="S33">
            <v>0</v>
          </cell>
          <cell r="T33">
            <v>5.19</v>
          </cell>
          <cell r="U33">
            <v>3.0840000000000001</v>
          </cell>
          <cell r="W33">
            <v>0.48</v>
          </cell>
          <cell r="X33">
            <v>246</v>
          </cell>
          <cell r="Y33">
            <v>0</v>
          </cell>
        </row>
        <row r="34">
          <cell r="B34" t="str">
            <v>Heu, 2. S.</v>
          </cell>
          <cell r="C34">
            <v>80621</v>
          </cell>
          <cell r="D34">
            <v>2011</v>
          </cell>
          <cell r="E34">
            <v>88.8</v>
          </cell>
          <cell r="F34">
            <v>119</v>
          </cell>
          <cell r="G34">
            <v>299</v>
          </cell>
          <cell r="H34">
            <v>26</v>
          </cell>
          <cell r="I34">
            <v>96</v>
          </cell>
          <cell r="J34">
            <v>355</v>
          </cell>
          <cell r="K34">
            <v>517</v>
          </cell>
          <cell r="L34">
            <v>4.3</v>
          </cell>
          <cell r="M34">
            <v>24</v>
          </cell>
          <cell r="N34">
            <v>5.2</v>
          </cell>
          <cell r="O34">
            <v>0.8</v>
          </cell>
          <cell r="P34">
            <v>2.4</v>
          </cell>
          <cell r="R34">
            <v>126</v>
          </cell>
          <cell r="S34">
            <v>0</v>
          </cell>
          <cell r="T34">
            <v>5.45</v>
          </cell>
          <cell r="U34">
            <v>3.2519999999999998</v>
          </cell>
          <cell r="W34">
            <v>-1.1200000000000001</v>
          </cell>
          <cell r="X34">
            <v>242</v>
          </cell>
          <cell r="Y34">
            <v>0</v>
          </cell>
        </row>
        <row r="35">
          <cell r="B35" t="str">
            <v>WGM 30/35/35</v>
          </cell>
          <cell r="C35">
            <v>80622</v>
          </cell>
          <cell r="D35">
            <v>2011</v>
          </cell>
          <cell r="E35">
            <v>88.8</v>
          </cell>
          <cell r="F35">
            <v>126</v>
          </cell>
          <cell r="G35">
            <v>48</v>
          </cell>
          <cell r="H35">
            <v>36</v>
          </cell>
          <cell r="I35">
            <v>27</v>
          </cell>
          <cell r="J35">
            <v>94</v>
          </cell>
          <cell r="K35">
            <v>323</v>
          </cell>
          <cell r="L35">
            <v>5.6</v>
          </cell>
          <cell r="M35">
            <v>7</v>
          </cell>
          <cell r="N35">
            <v>1</v>
          </cell>
          <cell r="O35">
            <v>0.1</v>
          </cell>
          <cell r="P35">
            <v>1.8</v>
          </cell>
          <cell r="R35">
            <v>168</v>
          </cell>
          <cell r="S35">
            <v>0</v>
          </cell>
          <cell r="T35">
            <v>8.58</v>
          </cell>
          <cell r="W35">
            <v>-6.72</v>
          </cell>
          <cell r="X35">
            <v>488</v>
          </cell>
          <cell r="Y35">
            <v>0</v>
          </cell>
        </row>
        <row r="36">
          <cell r="B36" t="str">
            <v>RES</v>
          </cell>
          <cell r="C36">
            <v>80623</v>
          </cell>
          <cell r="D36" t="str">
            <v>2011a</v>
          </cell>
          <cell r="E36">
            <v>89.1</v>
          </cell>
          <cell r="F36">
            <v>409</v>
          </cell>
          <cell r="G36">
            <v>119</v>
          </cell>
          <cell r="H36">
            <v>22</v>
          </cell>
          <cell r="I36">
            <v>79</v>
          </cell>
          <cell r="J36">
            <v>238</v>
          </cell>
          <cell r="K36">
            <v>315</v>
          </cell>
          <cell r="L36">
            <v>16.8</v>
          </cell>
          <cell r="M36">
            <v>15</v>
          </cell>
          <cell r="N36">
            <v>7.3</v>
          </cell>
          <cell r="O36">
            <v>1</v>
          </cell>
          <cell r="P36">
            <v>5.5</v>
          </cell>
          <cell r="R36">
            <v>296</v>
          </cell>
          <cell r="S36">
            <v>0</v>
          </cell>
          <cell r="T36">
            <v>7.33</v>
          </cell>
          <cell r="W36">
            <v>18.079999999999998</v>
          </cell>
          <cell r="X36">
            <v>175</v>
          </cell>
          <cell r="Y36">
            <v>0</v>
          </cell>
        </row>
        <row r="37">
          <cell r="B37" t="str">
            <v>Silo 9</v>
          </cell>
          <cell r="C37">
            <v>80626</v>
          </cell>
          <cell r="D37">
            <v>2011</v>
          </cell>
          <cell r="E37">
            <v>41.4</v>
          </cell>
          <cell r="F37">
            <v>129</v>
          </cell>
          <cell r="G37">
            <v>327</v>
          </cell>
          <cell r="H37">
            <v>27</v>
          </cell>
          <cell r="I37">
            <v>105</v>
          </cell>
          <cell r="J37">
            <v>346</v>
          </cell>
          <cell r="K37">
            <v>522</v>
          </cell>
          <cell r="L37">
            <v>5.6</v>
          </cell>
          <cell r="M37">
            <v>28</v>
          </cell>
          <cell r="N37">
            <v>6.4</v>
          </cell>
          <cell r="O37">
            <v>0.2</v>
          </cell>
          <cell r="P37">
            <v>2</v>
          </cell>
          <cell r="R37">
            <v>120</v>
          </cell>
          <cell r="S37">
            <v>0</v>
          </cell>
          <cell r="T37">
            <v>5.37</v>
          </cell>
          <cell r="U37">
            <v>3.282</v>
          </cell>
          <cell r="W37">
            <v>1.44</v>
          </cell>
          <cell r="X37">
            <v>217</v>
          </cell>
          <cell r="Y37">
            <v>0</v>
          </cell>
        </row>
        <row r="38">
          <cell r="B38" t="str">
            <v xml:space="preserve"> Treber</v>
          </cell>
          <cell r="C38">
            <v>80627</v>
          </cell>
          <cell r="D38">
            <v>2011</v>
          </cell>
          <cell r="E38">
            <v>21.8</v>
          </cell>
          <cell r="F38">
            <v>259</v>
          </cell>
          <cell r="G38">
            <v>178</v>
          </cell>
          <cell r="H38">
            <v>83</v>
          </cell>
          <cell r="I38">
            <v>48</v>
          </cell>
          <cell r="J38">
            <v>256</v>
          </cell>
          <cell r="K38">
            <v>612</v>
          </cell>
          <cell r="L38">
            <v>8.8000000000000007</v>
          </cell>
          <cell r="M38">
            <v>2.1</v>
          </cell>
          <cell r="N38">
            <v>3.4</v>
          </cell>
          <cell r="O38">
            <v>0.1</v>
          </cell>
          <cell r="P38">
            <v>2.7</v>
          </cell>
          <cell r="R38">
            <v>211</v>
          </cell>
          <cell r="S38">
            <v>0</v>
          </cell>
          <cell r="T38">
            <v>6.71</v>
          </cell>
          <cell r="W38">
            <v>7.68</v>
          </cell>
          <cell r="X38">
            <v>-2</v>
          </cell>
          <cell r="Y38">
            <v>0</v>
          </cell>
        </row>
        <row r="39">
          <cell r="B39" t="str">
            <v>Silo 9</v>
          </cell>
          <cell r="C39">
            <v>80629</v>
          </cell>
          <cell r="D39">
            <v>2011</v>
          </cell>
          <cell r="E39">
            <v>38.799999999999997</v>
          </cell>
          <cell r="F39">
            <v>113</v>
          </cell>
          <cell r="G39">
            <v>323</v>
          </cell>
          <cell r="H39">
            <v>30</v>
          </cell>
          <cell r="I39">
            <v>93</v>
          </cell>
          <cell r="J39">
            <v>323</v>
          </cell>
          <cell r="K39">
            <v>258</v>
          </cell>
          <cell r="L39">
            <v>4.5999999999999996</v>
          </cell>
          <cell r="M39">
            <v>26</v>
          </cell>
          <cell r="N39">
            <v>5.5</v>
          </cell>
          <cell r="O39">
            <v>0.2</v>
          </cell>
          <cell r="P39">
            <v>1.9</v>
          </cell>
          <cell r="R39">
            <v>121</v>
          </cell>
          <cell r="S39">
            <v>0</v>
          </cell>
          <cell r="T39">
            <v>5.59</v>
          </cell>
          <cell r="U39">
            <v>1.698</v>
          </cell>
          <cell r="W39">
            <v>-1.28</v>
          </cell>
          <cell r="X39">
            <v>506</v>
          </cell>
          <cell r="Y39">
            <v>0</v>
          </cell>
        </row>
        <row r="40">
          <cell r="B40" t="str">
            <v>Silo 3</v>
          </cell>
          <cell r="C40">
            <v>80630</v>
          </cell>
          <cell r="D40">
            <v>2011</v>
          </cell>
          <cell r="E40">
            <v>35.9</v>
          </cell>
          <cell r="F40">
            <v>86</v>
          </cell>
          <cell r="G40">
            <v>179</v>
          </cell>
          <cell r="H40">
            <v>46</v>
          </cell>
          <cell r="I40">
            <v>42</v>
          </cell>
          <cell r="J40">
            <v>187</v>
          </cell>
          <cell r="K40">
            <v>366</v>
          </cell>
          <cell r="L40">
            <v>3.6</v>
          </cell>
          <cell r="M40">
            <v>11</v>
          </cell>
          <cell r="N40">
            <v>1.9</v>
          </cell>
          <cell r="O40">
            <v>0.1</v>
          </cell>
          <cell r="P40">
            <v>1.5</v>
          </cell>
          <cell r="R40">
            <v>143</v>
          </cell>
          <cell r="S40">
            <v>0</v>
          </cell>
          <cell r="T40">
            <v>6.73</v>
          </cell>
          <cell r="U40">
            <v>1.6910400000000003</v>
          </cell>
          <cell r="W40">
            <v>-9.1199999999999992</v>
          </cell>
          <cell r="X40">
            <v>460</v>
          </cell>
          <cell r="Y40">
            <v>0</v>
          </cell>
        </row>
        <row r="41">
          <cell r="B41" t="str">
            <v>Pressschnitzel</v>
          </cell>
          <cell r="C41">
            <v>80631</v>
          </cell>
          <cell r="D41">
            <v>2011</v>
          </cell>
          <cell r="E41">
            <v>30.9</v>
          </cell>
          <cell r="F41">
            <v>79</v>
          </cell>
          <cell r="G41">
            <v>250</v>
          </cell>
          <cell r="H41">
            <v>6</v>
          </cell>
          <cell r="I41">
            <v>59</v>
          </cell>
          <cell r="J41">
            <v>213</v>
          </cell>
          <cell r="K41">
            <v>480</v>
          </cell>
          <cell r="L41">
            <v>1.1000000000000001</v>
          </cell>
          <cell r="M41">
            <v>4</v>
          </cell>
          <cell r="N41">
            <v>9.6999999999999993</v>
          </cell>
          <cell r="O41">
            <v>0.2</v>
          </cell>
          <cell r="P41">
            <v>2.6</v>
          </cell>
          <cell r="R41">
            <v>142</v>
          </cell>
          <cell r="S41">
            <v>0</v>
          </cell>
          <cell r="T41">
            <v>7.41</v>
          </cell>
          <cell r="W41">
            <v>-10.08</v>
          </cell>
          <cell r="X41">
            <v>376</v>
          </cell>
          <cell r="Y41">
            <v>0</v>
          </cell>
        </row>
        <row r="42">
          <cell r="B42" t="str">
            <v>RES</v>
          </cell>
          <cell r="C42">
            <v>80633</v>
          </cell>
          <cell r="D42">
            <v>2011</v>
          </cell>
          <cell r="E42">
            <v>89.7</v>
          </cell>
          <cell r="F42">
            <v>408</v>
          </cell>
          <cell r="G42">
            <v>134</v>
          </cell>
          <cell r="H42">
            <v>19</v>
          </cell>
          <cell r="I42">
            <v>79</v>
          </cell>
          <cell r="J42">
            <v>207</v>
          </cell>
          <cell r="K42">
            <v>340</v>
          </cell>
          <cell r="L42">
            <v>17.5</v>
          </cell>
          <cell r="M42">
            <v>15</v>
          </cell>
          <cell r="N42">
            <v>7.5</v>
          </cell>
          <cell r="O42">
            <v>0.8</v>
          </cell>
          <cell r="P42">
            <v>5.4</v>
          </cell>
          <cell r="R42">
            <v>261</v>
          </cell>
          <cell r="S42">
            <v>0</v>
          </cell>
          <cell r="T42">
            <v>7.3</v>
          </cell>
          <cell r="W42">
            <v>23.52</v>
          </cell>
          <cell r="X42">
            <v>154</v>
          </cell>
          <cell r="Y42">
            <v>0</v>
          </cell>
        </row>
        <row r="43">
          <cell r="B43" t="str">
            <v>WGM 30/35/35</v>
          </cell>
          <cell r="C43">
            <v>80634</v>
          </cell>
          <cell r="D43">
            <v>2011</v>
          </cell>
          <cell r="E43">
            <v>88.4</v>
          </cell>
          <cell r="F43">
            <v>126</v>
          </cell>
          <cell r="G43">
            <v>38</v>
          </cell>
          <cell r="H43">
            <v>36</v>
          </cell>
          <cell r="I43">
            <v>28</v>
          </cell>
          <cell r="J43">
            <v>42</v>
          </cell>
          <cell r="K43">
            <v>292</v>
          </cell>
          <cell r="L43">
            <v>5.8</v>
          </cell>
          <cell r="M43">
            <v>6</v>
          </cell>
          <cell r="N43">
            <v>0.9</v>
          </cell>
          <cell r="O43">
            <v>0.1</v>
          </cell>
          <cell r="P43">
            <v>1.7</v>
          </cell>
          <cell r="R43">
            <v>170</v>
          </cell>
          <cell r="S43">
            <v>0</v>
          </cell>
          <cell r="T43">
            <v>8.67</v>
          </cell>
          <cell r="W43">
            <v>-7.04</v>
          </cell>
          <cell r="X43">
            <v>518</v>
          </cell>
          <cell r="Y43">
            <v>0</v>
          </cell>
        </row>
        <row r="44">
          <cell r="B44" t="str">
            <v>RES</v>
          </cell>
          <cell r="C44">
            <v>80635</v>
          </cell>
          <cell r="D44">
            <v>2011</v>
          </cell>
          <cell r="E44">
            <v>89.6</v>
          </cell>
          <cell r="F44">
            <v>421</v>
          </cell>
          <cell r="G44">
            <v>121</v>
          </cell>
          <cell r="H44">
            <v>22</v>
          </cell>
          <cell r="I44">
            <v>80</v>
          </cell>
          <cell r="J44">
            <v>186</v>
          </cell>
          <cell r="K44">
            <v>334</v>
          </cell>
          <cell r="L44">
            <v>17.600000000000001</v>
          </cell>
          <cell r="M44">
            <v>15</v>
          </cell>
          <cell r="N44">
            <v>6.9</v>
          </cell>
          <cell r="O44">
            <v>0.8</v>
          </cell>
          <cell r="P44">
            <v>5.5</v>
          </cell>
          <cell r="R44">
            <v>267</v>
          </cell>
          <cell r="S44">
            <v>0</v>
          </cell>
          <cell r="T44">
            <v>7.34</v>
          </cell>
          <cell r="W44">
            <v>24.64</v>
          </cell>
          <cell r="X44">
            <v>143</v>
          </cell>
          <cell r="Y44">
            <v>0</v>
          </cell>
        </row>
        <row r="45">
          <cell r="B45" t="str">
            <v>Heu, 2. S.</v>
          </cell>
          <cell r="C45">
            <v>80636</v>
          </cell>
          <cell r="D45">
            <v>2011</v>
          </cell>
          <cell r="E45">
            <v>88.3</v>
          </cell>
          <cell r="F45">
            <v>128</v>
          </cell>
          <cell r="G45">
            <v>297</v>
          </cell>
          <cell r="H45">
            <v>29</v>
          </cell>
          <cell r="I45">
            <v>111</v>
          </cell>
          <cell r="J45">
            <v>289</v>
          </cell>
          <cell r="K45">
            <v>488</v>
          </cell>
          <cell r="L45">
            <v>4.4000000000000004</v>
          </cell>
          <cell r="M45">
            <v>23</v>
          </cell>
          <cell r="N45">
            <v>5.9</v>
          </cell>
          <cell r="O45">
            <v>1.6</v>
          </cell>
          <cell r="P45">
            <v>2</v>
          </cell>
          <cell r="R45">
            <v>135</v>
          </cell>
          <cell r="S45">
            <v>0</v>
          </cell>
          <cell r="T45">
            <v>5.95</v>
          </cell>
          <cell r="U45">
            <v>3.0779999999999998</v>
          </cell>
          <cell r="W45">
            <v>-1.1200000000000001</v>
          </cell>
          <cell r="X45">
            <v>244</v>
          </cell>
          <cell r="Y45">
            <v>0</v>
          </cell>
        </row>
        <row r="46">
          <cell r="B46" t="str">
            <v>Silo 3</v>
          </cell>
          <cell r="C46">
            <v>80637</v>
          </cell>
          <cell r="D46">
            <v>2011</v>
          </cell>
          <cell r="E46">
            <v>35.9</v>
          </cell>
          <cell r="F46">
            <v>85</v>
          </cell>
          <cell r="G46">
            <v>208</v>
          </cell>
          <cell r="H46">
            <v>47</v>
          </cell>
          <cell r="I46">
            <v>51</v>
          </cell>
          <cell r="J46">
            <v>192</v>
          </cell>
          <cell r="K46">
            <v>380</v>
          </cell>
          <cell r="L46">
            <v>4.2</v>
          </cell>
          <cell r="M46">
            <v>13</v>
          </cell>
          <cell r="N46">
            <v>2.4</v>
          </cell>
          <cell r="O46">
            <v>0.1</v>
          </cell>
          <cell r="P46">
            <v>1.7</v>
          </cell>
          <cell r="R46">
            <v>143</v>
          </cell>
          <cell r="S46">
            <v>0</v>
          </cell>
          <cell r="T46">
            <v>7.29</v>
          </cell>
          <cell r="U46">
            <v>1.7784000000000004</v>
          </cell>
          <cell r="W46">
            <v>-9.2799999999999994</v>
          </cell>
          <cell r="X46">
            <v>437</v>
          </cell>
          <cell r="Y46">
            <v>0</v>
          </cell>
        </row>
        <row r="47">
          <cell r="B47" t="str">
            <v>Silo 9</v>
          </cell>
          <cell r="C47">
            <v>80638</v>
          </cell>
          <cell r="D47">
            <v>2011</v>
          </cell>
          <cell r="E47">
            <v>39.6</v>
          </cell>
          <cell r="F47">
            <v>133</v>
          </cell>
          <cell r="G47">
            <v>310</v>
          </cell>
          <cell r="H47">
            <v>29</v>
          </cell>
          <cell r="I47">
            <v>104</v>
          </cell>
          <cell r="J47">
            <v>300</v>
          </cell>
          <cell r="K47">
            <v>491</v>
          </cell>
          <cell r="L47">
            <v>4.2</v>
          </cell>
          <cell r="M47">
            <v>26</v>
          </cell>
          <cell r="N47">
            <v>6.4</v>
          </cell>
          <cell r="O47">
            <v>0.5</v>
          </cell>
          <cell r="P47">
            <v>2.2999999999999998</v>
          </cell>
          <cell r="R47">
            <v>130</v>
          </cell>
          <cell r="S47">
            <v>0</v>
          </cell>
          <cell r="T47">
            <v>5.98</v>
          </cell>
          <cell r="U47">
            <v>3.0960000000000001</v>
          </cell>
          <cell r="W47">
            <v>0.48</v>
          </cell>
          <cell r="X47">
            <v>243</v>
          </cell>
          <cell r="Y47">
            <v>0</v>
          </cell>
        </row>
        <row r="48">
          <cell r="B48" t="str">
            <v xml:space="preserve"> Treber</v>
          </cell>
          <cell r="C48">
            <v>80639</v>
          </cell>
          <cell r="D48">
            <v>2011</v>
          </cell>
          <cell r="E48">
            <v>22.6</v>
          </cell>
          <cell r="F48">
            <v>223</v>
          </cell>
          <cell r="G48">
            <v>168</v>
          </cell>
          <cell r="H48">
            <v>87</v>
          </cell>
          <cell r="I48">
            <v>38</v>
          </cell>
          <cell r="J48">
            <v>255</v>
          </cell>
          <cell r="K48">
            <v>567</v>
          </cell>
          <cell r="L48">
            <v>6.6</v>
          </cell>
          <cell r="M48">
            <v>1.6</v>
          </cell>
          <cell r="N48">
            <v>4.2</v>
          </cell>
          <cell r="O48">
            <v>0.1</v>
          </cell>
          <cell r="P48">
            <v>2</v>
          </cell>
          <cell r="R48">
            <v>196</v>
          </cell>
          <cell r="S48">
            <v>0</v>
          </cell>
          <cell r="T48">
            <v>6.76</v>
          </cell>
          <cell r="W48">
            <v>4.32</v>
          </cell>
          <cell r="X48">
            <v>85</v>
          </cell>
          <cell r="Y48">
            <v>0</v>
          </cell>
        </row>
        <row r="49">
          <cell r="B49" t="str">
            <v>Silo 3</v>
          </cell>
          <cell r="C49">
            <v>80640</v>
          </cell>
          <cell r="D49">
            <v>2011</v>
          </cell>
          <cell r="E49">
            <v>37</v>
          </cell>
          <cell r="F49">
            <v>81</v>
          </cell>
          <cell r="G49">
            <v>177</v>
          </cell>
          <cell r="H49">
            <v>52</v>
          </cell>
          <cell r="I49">
            <v>43</v>
          </cell>
          <cell r="J49">
            <v>180</v>
          </cell>
          <cell r="K49">
            <v>384</v>
          </cell>
          <cell r="L49">
            <v>3.4</v>
          </cell>
          <cell r="M49">
            <v>12</v>
          </cell>
          <cell r="N49">
            <v>2.2000000000000002</v>
          </cell>
          <cell r="O49">
            <v>0.1</v>
          </cell>
          <cell r="P49">
            <v>2.4</v>
          </cell>
          <cell r="R49">
            <v>145</v>
          </cell>
          <cell r="S49">
            <v>0</v>
          </cell>
          <cell r="T49">
            <v>7.52</v>
          </cell>
          <cell r="U49">
            <v>1.8033600000000005</v>
          </cell>
          <cell r="W49">
            <v>-10.24</v>
          </cell>
          <cell r="X49">
            <v>440</v>
          </cell>
          <cell r="Y49">
            <v>0</v>
          </cell>
        </row>
        <row r="50">
          <cell r="B50" t="str">
            <v>Silo 9</v>
          </cell>
          <cell r="C50">
            <v>80641</v>
          </cell>
          <cell r="D50">
            <v>2011</v>
          </cell>
          <cell r="E50">
            <v>41.2</v>
          </cell>
          <cell r="F50">
            <v>126</v>
          </cell>
          <cell r="G50">
            <v>274</v>
          </cell>
          <cell r="H50">
            <v>27</v>
          </cell>
          <cell r="I50">
            <v>99</v>
          </cell>
          <cell r="J50">
            <v>306</v>
          </cell>
          <cell r="K50">
            <v>499</v>
          </cell>
          <cell r="L50">
            <v>4.5</v>
          </cell>
          <cell r="M50">
            <v>23</v>
          </cell>
          <cell r="N50">
            <v>6.8</v>
          </cell>
          <cell r="O50">
            <v>0.6</v>
          </cell>
          <cell r="P50">
            <v>2.4</v>
          </cell>
          <cell r="R50">
            <v>124</v>
          </cell>
          <cell r="S50">
            <v>0</v>
          </cell>
          <cell r="T50">
            <v>5.65</v>
          </cell>
          <cell r="U50">
            <v>3.1440000000000001</v>
          </cell>
          <cell r="W50">
            <v>0.32</v>
          </cell>
          <cell r="X50">
            <v>249</v>
          </cell>
          <cell r="Y50">
            <v>0</v>
          </cell>
        </row>
        <row r="51">
          <cell r="B51" t="str">
            <v>WGM 30/35/35</v>
          </cell>
          <cell r="C51">
            <v>80642</v>
          </cell>
          <cell r="D51">
            <v>2011</v>
          </cell>
          <cell r="E51">
            <v>88.9</v>
          </cell>
          <cell r="F51">
            <v>128</v>
          </cell>
          <cell r="G51">
            <v>42</v>
          </cell>
          <cell r="H51">
            <v>35</v>
          </cell>
          <cell r="I51">
            <v>24</v>
          </cell>
          <cell r="J51">
            <v>40</v>
          </cell>
          <cell r="K51">
            <v>289</v>
          </cell>
          <cell r="L51">
            <v>5.7</v>
          </cell>
          <cell r="M51">
            <v>6</v>
          </cell>
          <cell r="N51">
            <v>1</v>
          </cell>
          <cell r="O51">
            <v>0.1</v>
          </cell>
          <cell r="P51">
            <v>1.9</v>
          </cell>
          <cell r="R51">
            <v>177</v>
          </cell>
          <cell r="S51">
            <v>0</v>
          </cell>
          <cell r="T51">
            <v>8.93</v>
          </cell>
          <cell r="W51">
            <v>-7.84</v>
          </cell>
          <cell r="X51">
            <v>524</v>
          </cell>
          <cell r="Y51">
            <v>0</v>
          </cell>
        </row>
        <row r="52">
          <cell r="B52" t="str">
            <v>RES</v>
          </cell>
          <cell r="C52">
            <v>80643</v>
          </cell>
          <cell r="D52">
            <v>2011</v>
          </cell>
          <cell r="E52">
            <v>89.8</v>
          </cell>
          <cell r="F52">
            <v>408</v>
          </cell>
          <cell r="G52">
            <v>130</v>
          </cell>
          <cell r="H52">
            <v>20</v>
          </cell>
          <cell r="I52">
            <v>74</v>
          </cell>
          <cell r="J52">
            <v>212</v>
          </cell>
          <cell r="K52">
            <v>350</v>
          </cell>
          <cell r="L52">
            <v>15.3</v>
          </cell>
          <cell r="M52">
            <v>14</v>
          </cell>
          <cell r="N52">
            <v>7.3</v>
          </cell>
          <cell r="O52">
            <v>0.8</v>
          </cell>
          <cell r="P52">
            <v>5.2</v>
          </cell>
          <cell r="R52">
            <v>262</v>
          </cell>
          <cell r="S52">
            <v>0</v>
          </cell>
          <cell r="T52">
            <v>7.34</v>
          </cell>
          <cell r="W52">
            <v>23.36</v>
          </cell>
          <cell r="X52">
            <v>148</v>
          </cell>
          <cell r="Y52">
            <v>0</v>
          </cell>
        </row>
        <row r="53">
          <cell r="B53" t="str">
            <v>Heu, 2. S.</v>
          </cell>
          <cell r="C53">
            <v>80644</v>
          </cell>
          <cell r="D53">
            <v>2011</v>
          </cell>
          <cell r="E53">
            <v>88.6</v>
          </cell>
          <cell r="F53">
            <v>124</v>
          </cell>
          <cell r="G53">
            <v>298</v>
          </cell>
          <cell r="H53">
            <v>26</v>
          </cell>
          <cell r="I53">
            <v>76</v>
          </cell>
          <cell r="J53">
            <v>319</v>
          </cell>
          <cell r="K53">
            <v>527</v>
          </cell>
          <cell r="L53">
            <v>4.5</v>
          </cell>
          <cell r="M53">
            <v>18</v>
          </cell>
          <cell r="N53">
            <v>3.8</v>
          </cell>
          <cell r="O53">
            <v>3</v>
          </cell>
          <cell r="P53">
            <v>2.1</v>
          </cell>
          <cell r="R53">
            <v>130</v>
          </cell>
          <cell r="S53">
            <v>0</v>
          </cell>
          <cell r="T53">
            <v>5.67</v>
          </cell>
          <cell r="U53">
            <v>3.3119999999999998</v>
          </cell>
          <cell r="W53">
            <v>-0.96</v>
          </cell>
          <cell r="X53">
            <v>247</v>
          </cell>
          <cell r="Y53">
            <v>0</v>
          </cell>
        </row>
        <row r="54">
          <cell r="B54" t="str">
            <v>Stroh, Weizen</v>
          </cell>
          <cell r="C54">
            <v>80645</v>
          </cell>
          <cell r="D54">
            <v>2011</v>
          </cell>
          <cell r="E54">
            <v>92.5</v>
          </cell>
          <cell r="F54">
            <v>50</v>
          </cell>
          <cell r="G54">
            <v>424</v>
          </cell>
          <cell r="H54">
            <v>15</v>
          </cell>
          <cell r="I54">
            <v>53</v>
          </cell>
          <cell r="J54">
            <v>488</v>
          </cell>
          <cell r="K54">
            <v>761</v>
          </cell>
          <cell r="L54">
            <v>1.9</v>
          </cell>
          <cell r="M54">
            <v>14</v>
          </cell>
          <cell r="N54">
            <v>2.5</v>
          </cell>
          <cell r="O54">
            <v>0.2</v>
          </cell>
          <cell r="P54">
            <v>0.6</v>
          </cell>
          <cell r="R54">
            <v>81</v>
          </cell>
          <cell r="S54">
            <v>0</v>
          </cell>
          <cell r="T54">
            <v>3.47</v>
          </cell>
          <cell r="U54">
            <v>4.3</v>
          </cell>
          <cell r="W54">
            <v>-4.96</v>
          </cell>
          <cell r="X54">
            <v>121</v>
          </cell>
          <cell r="Y54">
            <v>0</v>
          </cell>
        </row>
        <row r="55">
          <cell r="B55" t="str">
            <v>Silo 3</v>
          </cell>
          <cell r="C55">
            <v>80646</v>
          </cell>
          <cell r="D55">
            <v>2011</v>
          </cell>
          <cell r="E55">
            <v>37.299999999999997</v>
          </cell>
          <cell r="F55">
            <v>83</v>
          </cell>
          <cell r="G55">
            <v>171</v>
          </cell>
          <cell r="H55">
            <v>46</v>
          </cell>
          <cell r="I55">
            <v>43</v>
          </cell>
          <cell r="J55">
            <v>184</v>
          </cell>
          <cell r="K55">
            <v>392</v>
          </cell>
          <cell r="L55">
            <v>3.5</v>
          </cell>
          <cell r="M55">
            <v>11</v>
          </cell>
          <cell r="N55">
            <v>2</v>
          </cell>
          <cell r="O55">
            <v>0.1</v>
          </cell>
          <cell r="P55">
            <v>1.3</v>
          </cell>
          <cell r="R55">
            <v>144</v>
          </cell>
          <cell r="S55">
            <v>0</v>
          </cell>
          <cell r="T55">
            <v>7.37</v>
          </cell>
          <cell r="U55">
            <v>1.85328</v>
          </cell>
          <cell r="W55">
            <v>-9.76</v>
          </cell>
          <cell r="X55">
            <v>436</v>
          </cell>
          <cell r="Y55">
            <v>0</v>
          </cell>
        </row>
        <row r="56">
          <cell r="B56" t="str">
            <v>Silo 9</v>
          </cell>
          <cell r="C56">
            <v>80647</v>
          </cell>
          <cell r="D56">
            <v>2011</v>
          </cell>
          <cell r="E56">
            <v>41.2</v>
          </cell>
          <cell r="F56">
            <v>118</v>
          </cell>
          <cell r="G56">
            <v>296</v>
          </cell>
          <cell r="H56">
            <v>27</v>
          </cell>
          <cell r="I56">
            <v>98</v>
          </cell>
          <cell r="J56">
            <v>318</v>
          </cell>
          <cell r="K56">
            <v>500</v>
          </cell>
          <cell r="L56">
            <v>4.2</v>
          </cell>
          <cell r="M56">
            <v>23</v>
          </cell>
          <cell r="N56">
            <v>5.7</v>
          </cell>
          <cell r="O56">
            <v>0.5</v>
          </cell>
          <cell r="P56">
            <v>2.2000000000000002</v>
          </cell>
          <cell r="Q56">
            <v>0</v>
          </cell>
          <cell r="R56">
            <v>122</v>
          </cell>
          <cell r="S56">
            <v>0</v>
          </cell>
          <cell r="T56">
            <v>5.6</v>
          </cell>
          <cell r="U56">
            <v>3.15</v>
          </cell>
          <cell r="V56">
            <v>0</v>
          </cell>
          <cell r="W56">
            <v>-0.64</v>
          </cell>
          <cell r="X56">
            <v>257</v>
          </cell>
          <cell r="Y56">
            <v>0</v>
          </cell>
        </row>
        <row r="57">
          <cell r="B57" t="str">
            <v>Silo 7</v>
          </cell>
          <cell r="C57">
            <v>80648</v>
          </cell>
          <cell r="D57">
            <v>2011</v>
          </cell>
          <cell r="E57">
            <v>38.6</v>
          </cell>
          <cell r="F57">
            <v>144</v>
          </cell>
          <cell r="G57">
            <v>273</v>
          </cell>
          <cell r="H57">
            <v>29</v>
          </cell>
          <cell r="I57">
            <v>104</v>
          </cell>
          <cell r="J57">
            <v>301</v>
          </cell>
          <cell r="K57">
            <v>496</v>
          </cell>
          <cell r="L57">
            <v>4.4000000000000004</v>
          </cell>
          <cell r="M57">
            <v>28</v>
          </cell>
          <cell r="N57">
            <v>5.6</v>
          </cell>
          <cell r="O57">
            <v>1.3</v>
          </cell>
          <cell r="P57">
            <v>2.2000000000000002</v>
          </cell>
          <cell r="R57">
            <v>131</v>
          </cell>
          <cell r="S57">
            <v>0</v>
          </cell>
          <cell r="T57">
            <v>5.96</v>
          </cell>
          <cell r="U57">
            <v>3.1259999999999999</v>
          </cell>
          <cell r="W57">
            <v>2.08</v>
          </cell>
          <cell r="X57">
            <v>227</v>
          </cell>
          <cell r="Y57">
            <v>0</v>
          </cell>
        </row>
        <row r="58">
          <cell r="B58" t="str">
            <v>Stroh, Weizen</v>
          </cell>
          <cell r="C58">
            <v>80650</v>
          </cell>
          <cell r="D58">
            <v>2011</v>
          </cell>
          <cell r="E58">
            <v>91.2</v>
          </cell>
          <cell r="F58">
            <v>58</v>
          </cell>
          <cell r="G58">
            <v>419</v>
          </cell>
          <cell r="H58">
            <v>18</v>
          </cell>
          <cell r="I58">
            <v>61</v>
          </cell>
          <cell r="J58">
            <v>461</v>
          </cell>
          <cell r="K58">
            <v>713</v>
          </cell>
          <cell r="L58">
            <v>1.2</v>
          </cell>
          <cell r="M58">
            <v>11</v>
          </cell>
          <cell r="N58">
            <v>3.1</v>
          </cell>
          <cell r="O58">
            <v>0.2</v>
          </cell>
          <cell r="P58">
            <v>1.3</v>
          </cell>
          <cell r="R58">
            <v>85</v>
          </cell>
          <cell r="S58">
            <v>0</v>
          </cell>
          <cell r="T58">
            <v>3.56</v>
          </cell>
          <cell r="U58">
            <v>4.3</v>
          </cell>
          <cell r="W58">
            <v>-4.32</v>
          </cell>
          <cell r="X58">
            <v>150</v>
          </cell>
          <cell r="Y58">
            <v>0</v>
          </cell>
        </row>
        <row r="59">
          <cell r="B59" t="str">
            <v>RES</v>
          </cell>
          <cell r="C59">
            <v>80651</v>
          </cell>
          <cell r="D59">
            <v>2012</v>
          </cell>
          <cell r="E59">
            <v>88.7</v>
          </cell>
          <cell r="F59">
            <v>413</v>
          </cell>
          <cell r="G59">
            <v>124</v>
          </cell>
          <cell r="H59">
            <v>23</v>
          </cell>
          <cell r="I59">
            <v>80</v>
          </cell>
          <cell r="J59">
            <v>205</v>
          </cell>
          <cell r="K59">
            <v>284</v>
          </cell>
          <cell r="L59">
            <v>16.7</v>
          </cell>
          <cell r="M59">
            <v>15</v>
          </cell>
          <cell r="N59">
            <v>7.1</v>
          </cell>
          <cell r="O59">
            <v>0.6</v>
          </cell>
          <cell r="P59">
            <v>6</v>
          </cell>
          <cell r="R59">
            <v>143</v>
          </cell>
          <cell r="S59">
            <v>0</v>
          </cell>
          <cell r="T59">
            <v>7.33</v>
          </cell>
          <cell r="W59">
            <v>43.2</v>
          </cell>
          <cell r="X59">
            <v>200</v>
          </cell>
          <cell r="Y59">
            <v>0</v>
          </cell>
        </row>
        <row r="60">
          <cell r="B60" t="str">
            <v>WGM 30/35/35</v>
          </cell>
          <cell r="C60">
            <v>80652</v>
          </cell>
          <cell r="D60">
            <v>2012</v>
          </cell>
          <cell r="E60">
            <v>88.5</v>
          </cell>
          <cell r="F60">
            <v>121</v>
          </cell>
          <cell r="G60">
            <v>19</v>
          </cell>
          <cell r="H60">
            <v>40</v>
          </cell>
          <cell r="I60">
            <v>23</v>
          </cell>
          <cell r="J60">
            <v>24</v>
          </cell>
          <cell r="K60">
            <v>203</v>
          </cell>
          <cell r="L60">
            <v>5.0999999999999996</v>
          </cell>
          <cell r="M60">
            <v>6</v>
          </cell>
          <cell r="N60">
            <v>0.8</v>
          </cell>
          <cell r="O60">
            <v>0.1</v>
          </cell>
          <cell r="P60">
            <v>1.8</v>
          </cell>
          <cell r="Q60">
            <v>0</v>
          </cell>
          <cell r="R60">
            <v>179</v>
          </cell>
          <cell r="S60">
            <v>0</v>
          </cell>
          <cell r="T60">
            <v>9.42</v>
          </cell>
          <cell r="U60">
            <v>0</v>
          </cell>
          <cell r="V60">
            <v>0</v>
          </cell>
          <cell r="W60">
            <v>-9.2799999999999994</v>
          </cell>
          <cell r="X60">
            <v>613</v>
          </cell>
          <cell r="Y60">
            <v>0</v>
          </cell>
        </row>
        <row r="61">
          <cell r="B61" t="str">
            <v>Silo 7</v>
          </cell>
          <cell r="C61">
            <v>80653</v>
          </cell>
          <cell r="D61">
            <v>2011</v>
          </cell>
          <cell r="E61">
            <v>38.299999999999997</v>
          </cell>
          <cell r="F61">
            <v>139</v>
          </cell>
          <cell r="G61">
            <v>307</v>
          </cell>
          <cell r="H61">
            <v>31</v>
          </cell>
          <cell r="I61">
            <v>117</v>
          </cell>
          <cell r="J61">
            <v>310</v>
          </cell>
          <cell r="K61">
            <v>488</v>
          </cell>
          <cell r="L61">
            <v>4</v>
          </cell>
          <cell r="M61">
            <v>20</v>
          </cell>
          <cell r="N61">
            <v>6.1</v>
          </cell>
          <cell r="O61">
            <v>2.1</v>
          </cell>
          <cell r="P61">
            <v>2.5</v>
          </cell>
          <cell r="R61">
            <v>125</v>
          </cell>
          <cell r="S61">
            <v>0</v>
          </cell>
          <cell r="T61">
            <v>5.61</v>
          </cell>
          <cell r="U61">
            <v>3.0779999999999998</v>
          </cell>
          <cell r="W61">
            <v>2.2400000000000002</v>
          </cell>
          <cell r="X61">
            <v>225</v>
          </cell>
          <cell r="Y61">
            <v>0</v>
          </cell>
        </row>
        <row r="62">
          <cell r="B62" t="str">
            <v>Silo 3</v>
          </cell>
          <cell r="C62">
            <v>80654</v>
          </cell>
          <cell r="D62">
            <v>2011</v>
          </cell>
          <cell r="E62">
            <v>37.700000000000003</v>
          </cell>
          <cell r="F62">
            <v>77</v>
          </cell>
          <cell r="G62">
            <v>167</v>
          </cell>
          <cell r="H62">
            <v>35</v>
          </cell>
          <cell r="I62">
            <v>41</v>
          </cell>
          <cell r="J62">
            <v>163</v>
          </cell>
          <cell r="K62">
            <v>303</v>
          </cell>
          <cell r="L62">
            <v>3.3</v>
          </cell>
          <cell r="M62">
            <v>12</v>
          </cell>
          <cell r="N62">
            <v>2.1</v>
          </cell>
          <cell r="O62">
            <v>0.2</v>
          </cell>
          <cell r="P62">
            <v>1.8</v>
          </cell>
          <cell r="R62">
            <v>139</v>
          </cell>
          <cell r="S62">
            <v>0</v>
          </cell>
          <cell r="T62">
            <v>7.16</v>
          </cell>
          <cell r="U62">
            <v>1.2979200000000002</v>
          </cell>
          <cell r="W62">
            <v>-9.92</v>
          </cell>
          <cell r="X62">
            <v>544</v>
          </cell>
          <cell r="Y62">
            <v>0</v>
          </cell>
        </row>
        <row r="63">
          <cell r="B63" t="str">
            <v xml:space="preserve"> Treber</v>
          </cell>
          <cell r="C63">
            <v>80655</v>
          </cell>
          <cell r="D63">
            <v>2012</v>
          </cell>
          <cell r="E63">
            <v>24.9</v>
          </cell>
          <cell r="F63">
            <v>218</v>
          </cell>
          <cell r="G63">
            <v>164</v>
          </cell>
          <cell r="H63">
            <v>82</v>
          </cell>
          <cell r="I63">
            <v>41</v>
          </cell>
          <cell r="J63">
            <v>246</v>
          </cell>
          <cell r="K63">
            <v>587</v>
          </cell>
          <cell r="L63">
            <v>6.3</v>
          </cell>
          <cell r="M63">
            <v>3</v>
          </cell>
          <cell r="N63">
            <v>2.9</v>
          </cell>
          <cell r="O63">
            <v>0.1</v>
          </cell>
          <cell r="P63">
            <v>1.9</v>
          </cell>
          <cell r="R63">
            <v>193</v>
          </cell>
          <cell r="S63">
            <v>0</v>
          </cell>
          <cell r="T63">
            <v>6.69</v>
          </cell>
          <cell r="U63">
            <v>1</v>
          </cell>
          <cell r="W63">
            <v>4</v>
          </cell>
          <cell r="X63">
            <v>72</v>
          </cell>
          <cell r="Y63">
            <v>0</v>
          </cell>
        </row>
        <row r="64">
          <cell r="B64" t="str">
            <v>Pressschnitzel</v>
          </cell>
          <cell r="C64">
            <v>80656</v>
          </cell>
          <cell r="D64">
            <v>2011</v>
          </cell>
          <cell r="E64">
            <v>32.1</v>
          </cell>
          <cell r="F64">
            <v>85</v>
          </cell>
          <cell r="G64">
            <v>232</v>
          </cell>
          <cell r="H64">
            <v>5</v>
          </cell>
          <cell r="I64">
            <v>63</v>
          </cell>
          <cell r="J64">
            <v>200</v>
          </cell>
          <cell r="K64">
            <v>466</v>
          </cell>
          <cell r="L64">
            <v>1.2</v>
          </cell>
          <cell r="M64">
            <v>4</v>
          </cell>
          <cell r="N64">
            <v>9.1999999999999993</v>
          </cell>
          <cell r="O64">
            <v>0.2</v>
          </cell>
          <cell r="P64">
            <v>2.5</v>
          </cell>
          <cell r="R64">
            <v>143</v>
          </cell>
          <cell r="S64">
            <v>0</v>
          </cell>
          <cell r="T64">
            <v>7.4</v>
          </cell>
          <cell r="W64">
            <v>-9.2799999999999994</v>
          </cell>
          <cell r="X64">
            <v>381</v>
          </cell>
          <cell r="Y64">
            <v>0</v>
          </cell>
        </row>
        <row r="65">
          <cell r="B65" t="str">
            <v xml:space="preserve"> Treber</v>
          </cell>
          <cell r="C65">
            <v>80657</v>
          </cell>
          <cell r="D65">
            <v>2012</v>
          </cell>
          <cell r="E65">
            <v>25.7</v>
          </cell>
          <cell r="F65">
            <v>227</v>
          </cell>
          <cell r="G65">
            <v>177</v>
          </cell>
          <cell r="H65">
            <v>72</v>
          </cell>
          <cell r="I65">
            <v>41</v>
          </cell>
          <cell r="J65">
            <v>262</v>
          </cell>
          <cell r="K65">
            <v>602</v>
          </cell>
          <cell r="L65">
            <v>6.8</v>
          </cell>
          <cell r="M65">
            <v>3</v>
          </cell>
          <cell r="N65">
            <v>2.8</v>
          </cell>
          <cell r="O65">
            <v>0.1</v>
          </cell>
          <cell r="P65">
            <v>2.2999999999999998</v>
          </cell>
          <cell r="R65">
            <v>196</v>
          </cell>
          <cell r="S65">
            <v>0</v>
          </cell>
          <cell r="T65">
            <v>6.6</v>
          </cell>
          <cell r="U65">
            <v>1</v>
          </cell>
          <cell r="W65">
            <v>4.96</v>
          </cell>
          <cell r="X65">
            <v>58</v>
          </cell>
          <cell r="Y65">
            <v>0</v>
          </cell>
        </row>
        <row r="66">
          <cell r="B66" t="str">
            <v>Pressschnitzel</v>
          </cell>
          <cell r="C66">
            <v>80660</v>
          </cell>
          <cell r="D66">
            <v>2011</v>
          </cell>
          <cell r="E66">
            <v>32.1</v>
          </cell>
          <cell r="S66">
            <v>0</v>
          </cell>
          <cell r="V66">
            <v>49</v>
          </cell>
          <cell r="W66">
            <v>0</v>
          </cell>
          <cell r="Y66">
            <v>0</v>
          </cell>
        </row>
        <row r="67">
          <cell r="B67" t="str">
            <v>WGM 30/35/35</v>
          </cell>
          <cell r="C67">
            <v>80661</v>
          </cell>
          <cell r="D67">
            <v>2012</v>
          </cell>
          <cell r="E67">
            <v>88.8</v>
          </cell>
          <cell r="F67">
            <v>140</v>
          </cell>
          <cell r="G67">
            <v>27</v>
          </cell>
          <cell r="H67">
            <v>38</v>
          </cell>
          <cell r="I67">
            <v>23</v>
          </cell>
          <cell r="J67">
            <v>33</v>
          </cell>
          <cell r="K67">
            <v>197</v>
          </cell>
          <cell r="L67">
            <v>5.9</v>
          </cell>
          <cell r="M67">
            <v>6</v>
          </cell>
          <cell r="N67">
            <v>1.2</v>
          </cell>
          <cell r="O67">
            <v>0.2</v>
          </cell>
          <cell r="P67">
            <v>1.8</v>
          </cell>
          <cell r="R67">
            <v>180</v>
          </cell>
          <cell r="S67">
            <v>0</v>
          </cell>
          <cell r="T67">
            <v>9.15</v>
          </cell>
          <cell r="W67">
            <v>-6.4</v>
          </cell>
          <cell r="X67">
            <v>602</v>
          </cell>
          <cell r="Y67">
            <v>0</v>
          </cell>
        </row>
        <row r="68">
          <cell r="B68" t="str">
            <v xml:space="preserve"> Treber</v>
          </cell>
          <cell r="C68">
            <v>80662</v>
          </cell>
          <cell r="D68">
            <v>2012</v>
          </cell>
          <cell r="E68">
            <v>25</v>
          </cell>
          <cell r="F68">
            <v>221</v>
          </cell>
          <cell r="G68">
            <v>178</v>
          </cell>
          <cell r="H68">
            <v>70</v>
          </cell>
          <cell r="I68">
            <v>43</v>
          </cell>
          <cell r="J68">
            <v>256</v>
          </cell>
          <cell r="K68">
            <v>620</v>
          </cell>
          <cell r="L68">
            <v>7</v>
          </cell>
          <cell r="M68">
            <v>2</v>
          </cell>
          <cell r="N68">
            <v>2.8</v>
          </cell>
          <cell r="O68">
            <v>0.1</v>
          </cell>
          <cell r="P68">
            <v>2.6</v>
          </cell>
          <cell r="R68">
            <v>193</v>
          </cell>
          <cell r="S68">
            <v>0</v>
          </cell>
          <cell r="T68">
            <v>6.56</v>
          </cell>
          <cell r="U68">
            <v>1</v>
          </cell>
          <cell r="W68">
            <v>4.4800000000000004</v>
          </cell>
          <cell r="X68">
            <v>46</v>
          </cell>
          <cell r="Y68">
            <v>0</v>
          </cell>
        </row>
        <row r="69">
          <cell r="B69" t="str">
            <v>RES</v>
          </cell>
          <cell r="C69">
            <v>80663</v>
          </cell>
          <cell r="D69">
            <v>2012</v>
          </cell>
          <cell r="E69">
            <v>89.2</v>
          </cell>
          <cell r="F69">
            <v>401</v>
          </cell>
          <cell r="G69">
            <v>127</v>
          </cell>
          <cell r="H69">
            <v>22</v>
          </cell>
          <cell r="I69">
            <v>79</v>
          </cell>
          <cell r="J69">
            <v>190</v>
          </cell>
          <cell r="K69">
            <v>305</v>
          </cell>
          <cell r="L69">
            <v>16.600000000000001</v>
          </cell>
          <cell r="M69">
            <v>15</v>
          </cell>
          <cell r="N69">
            <v>6.6</v>
          </cell>
          <cell r="O69">
            <v>0.4</v>
          </cell>
          <cell r="P69">
            <v>4.5</v>
          </cell>
          <cell r="R69">
            <v>259</v>
          </cell>
          <cell r="S69">
            <v>0</v>
          </cell>
          <cell r="T69">
            <v>7.31</v>
          </cell>
          <cell r="U69">
            <v>0.36</v>
          </cell>
          <cell r="W69">
            <v>22.72</v>
          </cell>
          <cell r="X69">
            <v>193</v>
          </cell>
          <cell r="Y69">
            <v>0</v>
          </cell>
        </row>
        <row r="70">
          <cell r="B70" t="str">
            <v>Pressschnitzel</v>
          </cell>
          <cell r="C70">
            <v>80664</v>
          </cell>
          <cell r="D70">
            <v>2011</v>
          </cell>
          <cell r="E70">
            <v>32.200000000000003</v>
          </cell>
          <cell r="F70">
            <v>94</v>
          </cell>
          <cell r="G70">
            <v>220</v>
          </cell>
          <cell r="H70">
            <v>11</v>
          </cell>
          <cell r="I70">
            <v>64</v>
          </cell>
          <cell r="J70">
            <v>215</v>
          </cell>
          <cell r="K70">
            <v>482</v>
          </cell>
          <cell r="L70">
            <v>1.6</v>
          </cell>
          <cell r="M70">
            <v>3</v>
          </cell>
          <cell r="N70">
            <v>9.3000000000000007</v>
          </cell>
          <cell r="O70">
            <v>0.2</v>
          </cell>
          <cell r="P70">
            <v>2.1</v>
          </cell>
          <cell r="R70">
            <v>147</v>
          </cell>
          <cell r="S70">
            <v>0</v>
          </cell>
          <cell r="T70">
            <v>7.42</v>
          </cell>
          <cell r="U70">
            <v>1.05</v>
          </cell>
          <cell r="W70">
            <v>-8.48</v>
          </cell>
          <cell r="X70">
            <v>349</v>
          </cell>
          <cell r="Y70">
            <v>0</v>
          </cell>
        </row>
        <row r="71">
          <cell r="B71" t="str">
            <v>Silo 3</v>
          </cell>
          <cell r="C71">
            <v>80665</v>
          </cell>
          <cell r="D71">
            <v>2011</v>
          </cell>
          <cell r="E71">
            <v>37.9</v>
          </cell>
          <cell r="F71">
            <v>90</v>
          </cell>
          <cell r="G71">
            <v>166</v>
          </cell>
          <cell r="H71">
            <v>43</v>
          </cell>
          <cell r="I71">
            <v>45</v>
          </cell>
          <cell r="J71">
            <v>176</v>
          </cell>
          <cell r="K71">
            <v>364</v>
          </cell>
          <cell r="L71">
            <v>3.8</v>
          </cell>
          <cell r="M71">
            <v>11</v>
          </cell>
          <cell r="N71">
            <v>2</v>
          </cell>
          <cell r="O71">
            <v>0.1</v>
          </cell>
          <cell r="P71">
            <v>1.3</v>
          </cell>
          <cell r="R71">
            <v>144</v>
          </cell>
          <cell r="S71">
            <v>0</v>
          </cell>
          <cell r="T71">
            <v>7.3</v>
          </cell>
          <cell r="U71">
            <v>1.6785600000000005</v>
          </cell>
          <cell r="W71">
            <v>-8.64</v>
          </cell>
          <cell r="X71">
            <v>458</v>
          </cell>
          <cell r="Y71">
            <v>0</v>
          </cell>
        </row>
        <row r="72">
          <cell r="B72" t="str">
            <v>Silo 7</v>
          </cell>
          <cell r="C72">
            <v>80666</v>
          </cell>
          <cell r="D72">
            <v>2011</v>
          </cell>
          <cell r="E72">
            <v>39.4</v>
          </cell>
          <cell r="F72">
            <v>141</v>
          </cell>
          <cell r="G72">
            <v>277</v>
          </cell>
          <cell r="H72">
            <v>37</v>
          </cell>
          <cell r="I72">
            <v>110</v>
          </cell>
          <cell r="J72">
            <v>302</v>
          </cell>
          <cell r="K72">
            <v>477</v>
          </cell>
          <cell r="L72">
            <v>4</v>
          </cell>
          <cell r="M72">
            <v>29</v>
          </cell>
          <cell r="N72">
            <v>5.9</v>
          </cell>
          <cell r="O72">
            <v>1</v>
          </cell>
          <cell r="P72">
            <v>2.1</v>
          </cell>
          <cell r="R72">
            <v>129</v>
          </cell>
          <cell r="S72">
            <v>0</v>
          </cell>
          <cell r="T72">
            <v>5.87</v>
          </cell>
          <cell r="U72">
            <v>3.012</v>
          </cell>
          <cell r="W72">
            <v>1.92</v>
          </cell>
          <cell r="X72">
            <v>235</v>
          </cell>
          <cell r="Y72">
            <v>0</v>
          </cell>
        </row>
        <row r="73">
          <cell r="B73" t="str">
            <v xml:space="preserve"> Treber</v>
          </cell>
          <cell r="C73">
            <v>80669</v>
          </cell>
          <cell r="D73">
            <v>2012</v>
          </cell>
          <cell r="E73">
            <v>25.6</v>
          </cell>
          <cell r="F73">
            <v>218</v>
          </cell>
          <cell r="G73">
            <v>165</v>
          </cell>
          <cell r="H73">
            <v>62</v>
          </cell>
          <cell r="I73">
            <v>42</v>
          </cell>
          <cell r="J73">
            <v>256</v>
          </cell>
          <cell r="K73">
            <v>606</v>
          </cell>
          <cell r="L73">
            <v>8</v>
          </cell>
          <cell r="M73">
            <v>2</v>
          </cell>
          <cell r="N73">
            <v>3.2</v>
          </cell>
          <cell r="O73">
            <v>0.1</v>
          </cell>
          <cell r="P73">
            <v>2.2999999999999998</v>
          </cell>
          <cell r="R73">
            <v>191</v>
          </cell>
          <cell r="S73">
            <v>0</v>
          </cell>
          <cell r="T73">
            <v>6.5</v>
          </cell>
          <cell r="U73">
            <v>1</v>
          </cell>
          <cell r="W73">
            <v>4.32</v>
          </cell>
          <cell r="X73">
            <v>72</v>
          </cell>
          <cell r="Y73">
            <v>0</v>
          </cell>
        </row>
        <row r="74">
          <cell r="B74" t="str">
            <v xml:space="preserve"> Treber</v>
          </cell>
          <cell r="C74">
            <v>80674</v>
          </cell>
          <cell r="D74">
            <v>2012</v>
          </cell>
          <cell r="E74">
            <v>25.7</v>
          </cell>
          <cell r="F74">
            <v>211</v>
          </cell>
          <cell r="G74">
            <v>187</v>
          </cell>
          <cell r="H74">
            <v>67</v>
          </cell>
          <cell r="I74">
            <v>42</v>
          </cell>
          <cell r="J74">
            <v>260</v>
          </cell>
          <cell r="K74">
            <v>644</v>
          </cell>
          <cell r="L74">
            <v>7.6</v>
          </cell>
          <cell r="M74">
            <v>3</v>
          </cell>
          <cell r="N74">
            <v>3.5</v>
          </cell>
          <cell r="O74">
            <v>0.1</v>
          </cell>
          <cell r="P74">
            <v>3.4</v>
          </cell>
          <cell r="R74">
            <v>188</v>
          </cell>
          <cell r="S74">
            <v>0</v>
          </cell>
          <cell r="T74">
            <v>6.52</v>
          </cell>
          <cell r="U74">
            <v>1</v>
          </cell>
          <cell r="W74">
            <v>3.68</v>
          </cell>
          <cell r="X74">
            <v>36</v>
          </cell>
          <cell r="Y74">
            <v>0</v>
          </cell>
        </row>
        <row r="75">
          <cell r="B75" t="str">
            <v>Heu, 2. S.</v>
          </cell>
          <cell r="C75">
            <v>80675</v>
          </cell>
          <cell r="D75">
            <v>2011</v>
          </cell>
          <cell r="E75">
            <v>89.2</v>
          </cell>
          <cell r="F75">
            <v>140</v>
          </cell>
          <cell r="G75">
            <v>276</v>
          </cell>
          <cell r="H75">
            <v>30</v>
          </cell>
          <cell r="I75">
            <v>102</v>
          </cell>
          <cell r="J75">
            <v>286</v>
          </cell>
          <cell r="K75">
            <v>489</v>
          </cell>
          <cell r="L75">
            <v>4.5</v>
          </cell>
          <cell r="M75">
            <v>29</v>
          </cell>
          <cell r="N75">
            <v>5.6</v>
          </cell>
          <cell r="O75">
            <v>1.1000000000000001</v>
          </cell>
          <cell r="P75">
            <v>2.4</v>
          </cell>
          <cell r="R75">
            <v>140</v>
          </cell>
          <cell r="S75">
            <v>0</v>
          </cell>
          <cell r="T75">
            <v>6.05</v>
          </cell>
          <cell r="U75">
            <v>3.0840000000000001</v>
          </cell>
          <cell r="W75">
            <v>0</v>
          </cell>
          <cell r="X75">
            <v>239</v>
          </cell>
          <cell r="Y75">
            <v>0</v>
          </cell>
        </row>
        <row r="76">
          <cell r="B76" t="str">
            <v>Stroh, Weizen</v>
          </cell>
          <cell r="C76">
            <v>80676</v>
          </cell>
          <cell r="D76">
            <v>2011</v>
          </cell>
          <cell r="E76">
            <v>91.4</v>
          </cell>
          <cell r="F76">
            <v>44</v>
          </cell>
          <cell r="G76">
            <v>421</v>
          </cell>
          <cell r="H76">
            <v>21</v>
          </cell>
          <cell r="I76">
            <v>55</v>
          </cell>
          <cell r="J76">
            <v>474</v>
          </cell>
          <cell r="K76">
            <v>740</v>
          </cell>
          <cell r="L76">
            <v>2.4</v>
          </cell>
          <cell r="M76">
            <v>13</v>
          </cell>
          <cell r="N76">
            <v>2.5</v>
          </cell>
          <cell r="O76">
            <v>0.2</v>
          </cell>
          <cell r="P76">
            <v>1</v>
          </cell>
          <cell r="R76">
            <v>78</v>
          </cell>
          <cell r="S76">
            <v>0</v>
          </cell>
          <cell r="T76">
            <v>3.58</v>
          </cell>
          <cell r="U76">
            <v>4.3</v>
          </cell>
          <cell r="W76">
            <v>-5.44</v>
          </cell>
          <cell r="X76">
            <v>140</v>
          </cell>
          <cell r="Y76">
            <v>0</v>
          </cell>
        </row>
        <row r="77">
          <cell r="B77" t="str">
            <v>WGM 30/35/35</v>
          </cell>
          <cell r="C77">
            <v>80677</v>
          </cell>
          <cell r="D77">
            <v>2012</v>
          </cell>
          <cell r="E77">
            <v>88.9</v>
          </cell>
          <cell r="F77">
            <v>126</v>
          </cell>
          <cell r="G77">
            <v>25</v>
          </cell>
          <cell r="H77">
            <v>41</v>
          </cell>
          <cell r="I77">
            <v>23</v>
          </cell>
          <cell r="J77">
            <v>24</v>
          </cell>
          <cell r="K77">
            <v>284</v>
          </cell>
          <cell r="L77">
            <v>5.2</v>
          </cell>
          <cell r="M77">
            <v>6</v>
          </cell>
          <cell r="N77">
            <v>1</v>
          </cell>
          <cell r="O77">
            <v>0.1</v>
          </cell>
          <cell r="P77">
            <v>1.8</v>
          </cell>
          <cell r="R77">
            <v>179</v>
          </cell>
          <cell r="S77">
            <v>0</v>
          </cell>
          <cell r="T77">
            <v>9.14</v>
          </cell>
          <cell r="W77">
            <v>-8.48</v>
          </cell>
          <cell r="X77">
            <v>526</v>
          </cell>
          <cell r="Y77">
            <v>0</v>
          </cell>
        </row>
        <row r="78">
          <cell r="B78" t="str">
            <v>RES</v>
          </cell>
          <cell r="C78">
            <v>80678</v>
          </cell>
          <cell r="D78">
            <v>2012</v>
          </cell>
          <cell r="E78">
            <v>88.1</v>
          </cell>
          <cell r="F78">
            <v>400</v>
          </cell>
          <cell r="G78">
            <v>129</v>
          </cell>
          <cell r="H78">
            <v>28</v>
          </cell>
          <cell r="I78">
            <v>76</v>
          </cell>
          <cell r="J78">
            <v>183</v>
          </cell>
          <cell r="K78">
            <v>299</v>
          </cell>
          <cell r="L78">
            <v>17.3</v>
          </cell>
          <cell r="M78">
            <v>14</v>
          </cell>
          <cell r="N78">
            <v>6.4</v>
          </cell>
          <cell r="O78">
            <v>0.6</v>
          </cell>
          <cell r="P78">
            <v>5.2</v>
          </cell>
          <cell r="R78">
            <v>260</v>
          </cell>
          <cell r="S78">
            <v>0</v>
          </cell>
          <cell r="T78">
            <v>7.39</v>
          </cell>
          <cell r="W78">
            <v>22.4</v>
          </cell>
          <cell r="X78">
            <v>197</v>
          </cell>
          <cell r="Y78">
            <v>0</v>
          </cell>
        </row>
        <row r="79">
          <cell r="B79" t="str">
            <v>Silo 3</v>
          </cell>
          <cell r="C79">
            <v>80679</v>
          </cell>
          <cell r="D79">
            <v>2011</v>
          </cell>
          <cell r="E79">
            <v>37.200000000000003</v>
          </cell>
          <cell r="F79">
            <v>91</v>
          </cell>
          <cell r="G79">
            <v>185</v>
          </cell>
          <cell r="H79">
            <v>49</v>
          </cell>
          <cell r="I79">
            <v>45</v>
          </cell>
          <cell r="J79">
            <v>189</v>
          </cell>
          <cell r="K79">
            <v>425</v>
          </cell>
          <cell r="L79">
            <v>4.0999999999999996</v>
          </cell>
          <cell r="M79">
            <v>11</v>
          </cell>
          <cell r="N79">
            <v>1.8</v>
          </cell>
          <cell r="O79">
            <v>0.1</v>
          </cell>
          <cell r="P79">
            <v>1.7</v>
          </cell>
          <cell r="R79">
            <v>142</v>
          </cell>
          <cell r="S79">
            <v>0</v>
          </cell>
          <cell r="T79">
            <v>7.07</v>
          </cell>
          <cell r="U79">
            <v>2.0592000000000006</v>
          </cell>
          <cell r="W79">
            <v>-8.16</v>
          </cell>
          <cell r="X79">
            <v>390</v>
          </cell>
          <cell r="Y79">
            <v>0</v>
          </cell>
        </row>
        <row r="80">
          <cell r="B80" t="str">
            <v>Silo 7</v>
          </cell>
          <cell r="C80">
            <v>80680</v>
          </cell>
          <cell r="D80">
            <v>2011</v>
          </cell>
          <cell r="E80">
            <v>39.5</v>
          </cell>
          <cell r="F80">
            <v>136</v>
          </cell>
          <cell r="G80">
            <v>317</v>
          </cell>
          <cell r="H80">
            <v>42</v>
          </cell>
          <cell r="I80">
            <v>110</v>
          </cell>
          <cell r="J80">
            <v>339</v>
          </cell>
          <cell r="K80">
            <v>511</v>
          </cell>
          <cell r="L80">
            <v>3.9</v>
          </cell>
          <cell r="M80">
            <v>26</v>
          </cell>
          <cell r="N80">
            <v>5.2</v>
          </cell>
          <cell r="O80">
            <v>0.8</v>
          </cell>
          <cell r="P80">
            <v>2.2999999999999998</v>
          </cell>
          <cell r="R80">
            <v>124</v>
          </cell>
          <cell r="S80">
            <v>0</v>
          </cell>
          <cell r="T80">
            <v>5.57</v>
          </cell>
          <cell r="U80">
            <v>3.2160000000000002</v>
          </cell>
          <cell r="W80">
            <v>1.92</v>
          </cell>
          <cell r="X80">
            <v>201</v>
          </cell>
          <cell r="Y80">
            <v>0</v>
          </cell>
        </row>
        <row r="81">
          <cell r="B81" t="str">
            <v xml:space="preserve"> Treber</v>
          </cell>
          <cell r="C81">
            <v>80681</v>
          </cell>
          <cell r="D81">
            <v>2012</v>
          </cell>
          <cell r="E81">
            <v>25</v>
          </cell>
          <cell r="F81">
            <v>252</v>
          </cell>
          <cell r="G81">
            <v>180</v>
          </cell>
          <cell r="H81">
            <v>79</v>
          </cell>
          <cell r="I81">
            <v>43</v>
          </cell>
          <cell r="J81">
            <v>264</v>
          </cell>
          <cell r="K81">
            <v>628</v>
          </cell>
          <cell r="L81">
            <v>7.1</v>
          </cell>
          <cell r="M81">
            <v>3</v>
          </cell>
          <cell r="N81">
            <v>2.2999999999999998</v>
          </cell>
          <cell r="O81">
            <v>0.1</v>
          </cell>
          <cell r="P81">
            <v>2.6</v>
          </cell>
          <cell r="R81">
            <v>207</v>
          </cell>
          <cell r="S81">
            <v>0</v>
          </cell>
          <cell r="T81">
            <v>6.68</v>
          </cell>
          <cell r="U81">
            <v>1</v>
          </cell>
          <cell r="W81">
            <v>7.2</v>
          </cell>
          <cell r="X81">
            <v>-2</v>
          </cell>
          <cell r="Y81">
            <v>0</v>
          </cell>
        </row>
        <row r="82">
          <cell r="B82" t="str">
            <v>Pressschnitzel</v>
          </cell>
          <cell r="C82">
            <v>80682</v>
          </cell>
          <cell r="D82">
            <v>2011</v>
          </cell>
          <cell r="E82">
            <v>31.7</v>
          </cell>
          <cell r="F82">
            <v>81</v>
          </cell>
          <cell r="G82">
            <v>198</v>
          </cell>
          <cell r="H82">
            <v>4</v>
          </cell>
          <cell r="I82">
            <v>61</v>
          </cell>
          <cell r="J82">
            <v>205</v>
          </cell>
          <cell r="K82">
            <v>490</v>
          </cell>
          <cell r="L82">
            <v>1.1000000000000001</v>
          </cell>
          <cell r="M82">
            <v>4</v>
          </cell>
          <cell r="N82">
            <v>8.6999999999999993</v>
          </cell>
          <cell r="O82">
            <v>0.1</v>
          </cell>
          <cell r="P82">
            <v>2.2999999999999998</v>
          </cell>
          <cell r="R82">
            <v>143</v>
          </cell>
          <cell r="S82">
            <v>0</v>
          </cell>
          <cell r="T82">
            <v>7.44</v>
          </cell>
          <cell r="W82">
            <v>-9.92</v>
          </cell>
          <cell r="X82">
            <v>364</v>
          </cell>
          <cell r="Y82">
            <v>0</v>
          </cell>
        </row>
        <row r="83">
          <cell r="B83" t="str">
            <v>Stroh, Gerste</v>
          </cell>
          <cell r="C83">
            <v>80687</v>
          </cell>
          <cell r="D83">
            <v>2011</v>
          </cell>
          <cell r="E83">
            <v>89.9</v>
          </cell>
          <cell r="F83">
            <v>46</v>
          </cell>
          <cell r="G83">
            <v>437</v>
          </cell>
          <cell r="H83">
            <v>9</v>
          </cell>
          <cell r="I83">
            <v>52</v>
          </cell>
          <cell r="J83">
            <v>500</v>
          </cell>
          <cell r="K83">
            <v>778</v>
          </cell>
          <cell r="L83">
            <v>1.2</v>
          </cell>
          <cell r="M83">
            <v>10</v>
          </cell>
          <cell r="N83">
            <v>4</v>
          </cell>
          <cell r="O83">
            <v>0.8</v>
          </cell>
          <cell r="P83">
            <v>1.4</v>
          </cell>
          <cell r="R83">
            <v>82</v>
          </cell>
          <cell r="S83">
            <v>0</v>
          </cell>
          <cell r="T83">
            <v>3.8</v>
          </cell>
          <cell r="U83">
            <v>4.3</v>
          </cell>
          <cell r="W83">
            <v>-5.76</v>
          </cell>
          <cell r="X83">
            <v>115</v>
          </cell>
          <cell r="Y83">
            <v>0</v>
          </cell>
        </row>
        <row r="84">
          <cell r="B84" t="str">
            <v>WGM 30/35/35</v>
          </cell>
          <cell r="C84">
            <v>80688</v>
          </cell>
          <cell r="D84">
            <v>2012</v>
          </cell>
          <cell r="E84">
            <v>88.2</v>
          </cell>
          <cell r="F84">
            <v>120</v>
          </cell>
          <cell r="G84">
            <v>38</v>
          </cell>
          <cell r="H84">
            <v>35</v>
          </cell>
          <cell r="I84">
            <v>21</v>
          </cell>
          <cell r="J84">
            <v>41</v>
          </cell>
          <cell r="K84">
            <v>263</v>
          </cell>
          <cell r="L84">
            <v>5.3</v>
          </cell>
          <cell r="M84">
            <v>5</v>
          </cell>
          <cell r="N84">
            <v>0.9</v>
          </cell>
          <cell r="O84">
            <v>0.1</v>
          </cell>
          <cell r="P84">
            <v>2.2999999999999998</v>
          </cell>
          <cell r="R84">
            <v>175</v>
          </cell>
          <cell r="S84">
            <v>0</v>
          </cell>
          <cell r="T84">
            <v>8.94</v>
          </cell>
          <cell r="W84">
            <v>-8.8000000000000007</v>
          </cell>
          <cell r="X84">
            <v>561</v>
          </cell>
          <cell r="Y84">
            <v>0</v>
          </cell>
        </row>
        <row r="85">
          <cell r="B85" t="str">
            <v>Heu, 2. S.</v>
          </cell>
          <cell r="C85">
            <v>80689</v>
          </cell>
          <cell r="D85">
            <v>2011</v>
          </cell>
          <cell r="E85">
            <v>90.3</v>
          </cell>
          <cell r="F85">
            <v>124</v>
          </cell>
          <cell r="G85">
            <v>261</v>
          </cell>
          <cell r="H85">
            <v>26</v>
          </cell>
          <cell r="I85">
            <v>83</v>
          </cell>
          <cell r="J85">
            <v>281</v>
          </cell>
          <cell r="K85">
            <v>482</v>
          </cell>
          <cell r="L85">
            <v>5.2</v>
          </cell>
          <cell r="M85">
            <v>20</v>
          </cell>
          <cell r="N85">
            <v>5.8</v>
          </cell>
          <cell r="O85">
            <v>1.4</v>
          </cell>
          <cell r="P85">
            <v>3.3</v>
          </cell>
          <cell r="R85">
            <v>137</v>
          </cell>
          <cell r="S85">
            <v>0</v>
          </cell>
          <cell r="T85">
            <v>6.11</v>
          </cell>
          <cell r="U85">
            <v>3.0419999999999998</v>
          </cell>
          <cell r="W85">
            <v>-2.08</v>
          </cell>
          <cell r="X85">
            <v>285</v>
          </cell>
          <cell r="Y85">
            <v>0</v>
          </cell>
        </row>
        <row r="86">
          <cell r="B86" t="str">
            <v>RES</v>
          </cell>
          <cell r="C86">
            <v>80690</v>
          </cell>
          <cell r="D86">
            <v>2012</v>
          </cell>
          <cell r="E86">
            <v>87.2</v>
          </cell>
          <cell r="F86">
            <v>386</v>
          </cell>
          <cell r="G86">
            <v>128</v>
          </cell>
          <cell r="H86">
            <v>28</v>
          </cell>
          <cell r="I86">
            <v>72</v>
          </cell>
          <cell r="J86">
            <v>186</v>
          </cell>
          <cell r="K86">
            <v>299</v>
          </cell>
          <cell r="L86">
            <v>16.100000000000001</v>
          </cell>
          <cell r="M86">
            <v>14</v>
          </cell>
          <cell r="N86">
            <v>7.2</v>
          </cell>
          <cell r="O86">
            <v>0.6</v>
          </cell>
          <cell r="P86">
            <v>5</v>
          </cell>
          <cell r="R86">
            <v>255</v>
          </cell>
          <cell r="S86">
            <v>0</v>
          </cell>
          <cell r="T86">
            <v>7.4</v>
          </cell>
          <cell r="W86">
            <v>20.96</v>
          </cell>
          <cell r="X86">
            <v>215</v>
          </cell>
          <cell r="Y86">
            <v>0</v>
          </cell>
        </row>
        <row r="87">
          <cell r="B87" t="str">
            <v>Silo 2</v>
          </cell>
          <cell r="C87">
            <v>80691</v>
          </cell>
          <cell r="D87">
            <v>2011</v>
          </cell>
          <cell r="E87">
            <v>35.5</v>
          </cell>
          <cell r="F87">
            <v>91</v>
          </cell>
          <cell r="G87">
            <v>173</v>
          </cell>
          <cell r="H87">
            <v>44</v>
          </cell>
          <cell r="I87">
            <v>41</v>
          </cell>
          <cell r="J87">
            <v>168</v>
          </cell>
          <cell r="K87">
            <v>354</v>
          </cell>
          <cell r="L87">
            <v>3.6</v>
          </cell>
          <cell r="M87">
            <v>11</v>
          </cell>
          <cell r="N87">
            <v>2.2999999999999998</v>
          </cell>
          <cell r="O87">
            <v>0.2</v>
          </cell>
          <cell r="P87">
            <v>1.9</v>
          </cell>
          <cell r="R87">
            <v>144</v>
          </cell>
          <cell r="S87">
            <v>0</v>
          </cell>
          <cell r="T87">
            <v>7.27</v>
          </cell>
          <cell r="U87">
            <v>1.6161600000000003</v>
          </cell>
          <cell r="W87">
            <v>-8.48</v>
          </cell>
          <cell r="X87">
            <v>470</v>
          </cell>
          <cell r="Y87">
            <v>0</v>
          </cell>
        </row>
        <row r="88">
          <cell r="B88" t="str">
            <v>Silo 7</v>
          </cell>
          <cell r="C88">
            <v>80692</v>
          </cell>
          <cell r="D88">
            <v>2011</v>
          </cell>
          <cell r="E88">
            <v>39.6</v>
          </cell>
          <cell r="F88">
            <v>114</v>
          </cell>
          <cell r="G88">
            <v>332</v>
          </cell>
          <cell r="H88">
            <v>30</v>
          </cell>
          <cell r="I88">
            <v>92</v>
          </cell>
          <cell r="J88">
            <v>332</v>
          </cell>
          <cell r="K88">
            <v>530</v>
          </cell>
          <cell r="L88">
            <v>4.5</v>
          </cell>
          <cell r="M88">
            <v>25</v>
          </cell>
          <cell r="N88">
            <v>5.5</v>
          </cell>
          <cell r="O88">
            <v>0.5</v>
          </cell>
          <cell r="P88">
            <v>2.2999999999999998</v>
          </cell>
          <cell r="R88">
            <v>119</v>
          </cell>
          <cell r="S88">
            <v>0</v>
          </cell>
          <cell r="T88">
            <v>5.44</v>
          </cell>
          <cell r="U88">
            <v>3.33</v>
          </cell>
          <cell r="W88">
            <v>-0.8</v>
          </cell>
          <cell r="X88">
            <v>234</v>
          </cell>
          <cell r="Y88">
            <v>0</v>
          </cell>
        </row>
        <row r="89">
          <cell r="B89" t="str">
            <v>Pressschnitzel</v>
          </cell>
          <cell r="C89">
            <v>80693</v>
          </cell>
          <cell r="D89">
            <v>2011</v>
          </cell>
          <cell r="E89">
            <v>31.9</v>
          </cell>
          <cell r="F89">
            <v>84</v>
          </cell>
          <cell r="G89">
            <v>207</v>
          </cell>
          <cell r="H89">
            <v>5</v>
          </cell>
          <cell r="I89">
            <v>62</v>
          </cell>
          <cell r="J89">
            <v>207</v>
          </cell>
          <cell r="K89">
            <v>512</v>
          </cell>
          <cell r="L89">
            <v>1.2</v>
          </cell>
          <cell r="M89">
            <v>4</v>
          </cell>
          <cell r="N89">
            <v>10.4</v>
          </cell>
          <cell r="O89">
            <v>0.2</v>
          </cell>
          <cell r="P89">
            <v>3.1</v>
          </cell>
          <cell r="R89">
            <v>143</v>
          </cell>
          <cell r="S89">
            <v>0</v>
          </cell>
          <cell r="T89">
            <v>7.43</v>
          </cell>
          <cell r="V89">
            <v>22</v>
          </cell>
          <cell r="W89">
            <v>-9.44</v>
          </cell>
          <cell r="X89">
            <v>337</v>
          </cell>
          <cell r="Y89">
            <v>0</v>
          </cell>
        </row>
        <row r="90">
          <cell r="B90" t="str">
            <v xml:space="preserve"> Treber</v>
          </cell>
          <cell r="C90">
            <v>80694</v>
          </cell>
          <cell r="D90">
            <v>2012</v>
          </cell>
          <cell r="E90">
            <v>24.7</v>
          </cell>
          <cell r="F90">
            <v>234</v>
          </cell>
          <cell r="G90">
            <v>226</v>
          </cell>
          <cell r="H90">
            <v>67</v>
          </cell>
          <cell r="I90">
            <v>43</v>
          </cell>
          <cell r="J90">
            <v>226</v>
          </cell>
          <cell r="K90">
            <v>583</v>
          </cell>
          <cell r="L90">
            <v>7.6</v>
          </cell>
          <cell r="M90">
            <v>3</v>
          </cell>
          <cell r="N90">
            <v>4.3</v>
          </cell>
          <cell r="O90">
            <v>0.2</v>
          </cell>
          <cell r="P90">
            <v>2.8</v>
          </cell>
          <cell r="R90">
            <v>198</v>
          </cell>
          <cell r="S90">
            <v>0</v>
          </cell>
          <cell r="T90">
            <v>6.53</v>
          </cell>
          <cell r="U90">
            <v>1</v>
          </cell>
          <cell r="W90">
            <v>5.76</v>
          </cell>
          <cell r="X90">
            <v>73</v>
          </cell>
          <cell r="Y90">
            <v>0</v>
          </cell>
        </row>
        <row r="91">
          <cell r="B91" t="str">
            <v>Stroh, Gerste</v>
          </cell>
          <cell r="C91">
            <v>80697</v>
          </cell>
          <cell r="D91">
            <v>2011</v>
          </cell>
          <cell r="E91">
            <v>90.5</v>
          </cell>
          <cell r="F91">
            <v>36</v>
          </cell>
          <cell r="G91">
            <v>443</v>
          </cell>
          <cell r="H91">
            <v>17</v>
          </cell>
          <cell r="I91">
            <v>43</v>
          </cell>
          <cell r="J91">
            <v>488</v>
          </cell>
          <cell r="K91">
            <v>774</v>
          </cell>
          <cell r="L91">
            <v>1.4</v>
          </cell>
          <cell r="M91">
            <v>10</v>
          </cell>
          <cell r="N91">
            <v>3</v>
          </cell>
          <cell r="O91">
            <v>0.2</v>
          </cell>
          <cell r="P91">
            <v>0.6</v>
          </cell>
          <cell r="R91">
            <v>78</v>
          </cell>
          <cell r="S91">
            <v>0</v>
          </cell>
          <cell r="T91">
            <v>3.86</v>
          </cell>
          <cell r="U91">
            <v>4.3</v>
          </cell>
          <cell r="W91">
            <v>-6.72</v>
          </cell>
          <cell r="X91">
            <v>130</v>
          </cell>
          <cell r="Y91">
            <v>0</v>
          </cell>
        </row>
        <row r="92">
          <cell r="B92" t="str">
            <v>WGM 30/35/35</v>
          </cell>
          <cell r="C92">
            <v>80698</v>
          </cell>
          <cell r="D92">
            <v>2012</v>
          </cell>
          <cell r="E92">
            <v>88.4</v>
          </cell>
          <cell r="F92">
            <v>123</v>
          </cell>
          <cell r="G92">
            <v>32</v>
          </cell>
          <cell r="H92">
            <v>35</v>
          </cell>
          <cell r="I92">
            <v>26</v>
          </cell>
          <cell r="J92">
            <v>34</v>
          </cell>
          <cell r="K92">
            <v>318</v>
          </cell>
          <cell r="L92">
            <v>5.4</v>
          </cell>
          <cell r="M92">
            <v>6</v>
          </cell>
          <cell r="N92">
            <v>1.1000000000000001</v>
          </cell>
          <cell r="O92">
            <v>0.2</v>
          </cell>
          <cell r="P92">
            <v>1.6</v>
          </cell>
          <cell r="R92">
            <v>176</v>
          </cell>
          <cell r="S92">
            <v>0</v>
          </cell>
          <cell r="T92">
            <v>9.0399999999999991</v>
          </cell>
          <cell r="W92">
            <v>-8.48</v>
          </cell>
          <cell r="X92">
            <v>498</v>
          </cell>
          <cell r="Y92">
            <v>0</v>
          </cell>
        </row>
        <row r="93">
          <cell r="B93" t="str">
            <v>Heu, 2. S.</v>
          </cell>
          <cell r="C93">
            <v>80699</v>
          </cell>
          <cell r="D93">
            <v>2011</v>
          </cell>
          <cell r="E93">
            <v>89.9</v>
          </cell>
          <cell r="F93">
            <v>125</v>
          </cell>
          <cell r="G93">
            <v>254</v>
          </cell>
          <cell r="H93">
            <v>29</v>
          </cell>
          <cell r="I93">
            <v>89</v>
          </cell>
          <cell r="J93">
            <v>279</v>
          </cell>
          <cell r="K93">
            <v>480</v>
          </cell>
          <cell r="L93">
            <v>5.4</v>
          </cell>
          <cell r="M93">
            <v>21</v>
          </cell>
          <cell r="N93">
            <v>5.2</v>
          </cell>
          <cell r="O93">
            <v>1.4</v>
          </cell>
          <cell r="P93">
            <v>2.2999999999999998</v>
          </cell>
          <cell r="R93">
            <v>138</v>
          </cell>
          <cell r="S93">
            <v>0</v>
          </cell>
          <cell r="T93">
            <v>6.2</v>
          </cell>
          <cell r="U93">
            <v>3.03</v>
          </cell>
          <cell r="W93">
            <v>-2.08</v>
          </cell>
          <cell r="X93">
            <v>277</v>
          </cell>
          <cell r="Y93">
            <v>0</v>
          </cell>
        </row>
        <row r="94">
          <cell r="B94" t="str">
            <v>RES</v>
          </cell>
          <cell r="C94">
            <v>80700</v>
          </cell>
          <cell r="D94">
            <v>2012</v>
          </cell>
          <cell r="E94">
            <v>88.9</v>
          </cell>
          <cell r="F94">
            <v>409</v>
          </cell>
          <cell r="G94">
            <v>109</v>
          </cell>
          <cell r="H94">
            <v>23</v>
          </cell>
          <cell r="I94">
            <v>81</v>
          </cell>
          <cell r="J94">
            <v>192</v>
          </cell>
          <cell r="K94">
            <v>333</v>
          </cell>
          <cell r="L94">
            <v>17.2</v>
          </cell>
          <cell r="M94">
            <v>15</v>
          </cell>
          <cell r="N94">
            <v>7.1</v>
          </cell>
          <cell r="O94">
            <v>0.1</v>
          </cell>
          <cell r="P94">
            <v>4.9000000000000004</v>
          </cell>
          <cell r="R94">
            <v>262</v>
          </cell>
          <cell r="S94">
            <v>0</v>
          </cell>
          <cell r="T94">
            <v>7.33</v>
          </cell>
          <cell r="W94">
            <v>23.52</v>
          </cell>
          <cell r="X94">
            <v>154</v>
          </cell>
          <cell r="Y94">
            <v>0</v>
          </cell>
        </row>
        <row r="95">
          <cell r="B95" t="str">
            <v>Silo 2</v>
          </cell>
          <cell r="C95">
            <v>80701</v>
          </cell>
          <cell r="D95">
            <v>2011</v>
          </cell>
          <cell r="E95">
            <v>35.9</v>
          </cell>
          <cell r="F95">
            <v>81</v>
          </cell>
          <cell r="G95">
            <v>167</v>
          </cell>
          <cell r="H95">
            <v>49</v>
          </cell>
          <cell r="I95">
            <v>42</v>
          </cell>
          <cell r="J95">
            <v>172</v>
          </cell>
          <cell r="K95">
            <v>361</v>
          </cell>
          <cell r="L95">
            <v>3.2</v>
          </cell>
          <cell r="M95">
            <v>11</v>
          </cell>
          <cell r="N95">
            <v>2.1</v>
          </cell>
          <cell r="O95">
            <v>0.2</v>
          </cell>
          <cell r="P95">
            <v>1.1000000000000001</v>
          </cell>
          <cell r="R95">
            <v>144</v>
          </cell>
          <cell r="S95">
            <v>0</v>
          </cell>
          <cell r="T95">
            <v>6.87</v>
          </cell>
          <cell r="U95">
            <v>1.6598400000000002</v>
          </cell>
          <cell r="V95">
            <v>4</v>
          </cell>
          <cell r="W95">
            <v>-10.08</v>
          </cell>
          <cell r="X95">
            <v>467</v>
          </cell>
          <cell r="Y95">
            <v>0</v>
          </cell>
        </row>
        <row r="96">
          <cell r="B96" t="str">
            <v>Silo 7</v>
          </cell>
          <cell r="C96">
            <v>80702</v>
          </cell>
          <cell r="D96">
            <v>2011</v>
          </cell>
          <cell r="E96">
            <v>37.299999999999997</v>
          </cell>
          <cell r="F96">
            <v>139</v>
          </cell>
          <cell r="G96">
            <v>272</v>
          </cell>
          <cell r="H96">
            <v>35</v>
          </cell>
          <cell r="I96">
            <v>170</v>
          </cell>
          <cell r="J96">
            <v>291</v>
          </cell>
          <cell r="K96">
            <v>476</v>
          </cell>
          <cell r="L96">
            <v>4.4000000000000004</v>
          </cell>
          <cell r="M96">
            <v>29</v>
          </cell>
          <cell r="N96">
            <v>7.5</v>
          </cell>
          <cell r="O96">
            <v>1.1000000000000001</v>
          </cell>
          <cell r="P96">
            <v>2.2999999999999998</v>
          </cell>
          <cell r="R96">
            <v>122</v>
          </cell>
          <cell r="S96">
            <v>0</v>
          </cell>
          <cell r="T96">
            <v>5.5</v>
          </cell>
          <cell r="U96">
            <v>3.0059999999999998</v>
          </cell>
          <cell r="V96">
            <v>15</v>
          </cell>
          <cell r="W96">
            <v>2.72</v>
          </cell>
          <cell r="X96">
            <v>180</v>
          </cell>
          <cell r="Y96">
            <v>0</v>
          </cell>
        </row>
        <row r="97">
          <cell r="B97" t="str">
            <v>Pressschnitzel</v>
          </cell>
          <cell r="C97">
            <v>80703</v>
          </cell>
          <cell r="D97">
            <v>2011</v>
          </cell>
          <cell r="E97">
            <v>31.9</v>
          </cell>
          <cell r="F97">
            <v>96</v>
          </cell>
          <cell r="G97">
            <v>212</v>
          </cell>
          <cell r="H97">
            <v>12</v>
          </cell>
          <cell r="I97">
            <v>65</v>
          </cell>
          <cell r="J97">
            <v>204</v>
          </cell>
          <cell r="K97">
            <v>491</v>
          </cell>
          <cell r="L97">
            <v>1.5</v>
          </cell>
          <cell r="M97">
            <v>3</v>
          </cell>
          <cell r="N97">
            <v>9.9</v>
          </cell>
          <cell r="O97">
            <v>0.2</v>
          </cell>
          <cell r="P97">
            <v>2</v>
          </cell>
          <cell r="R97">
            <v>147</v>
          </cell>
          <cell r="S97">
            <v>0</v>
          </cell>
          <cell r="T97">
            <v>7.43</v>
          </cell>
          <cell r="V97">
            <v>28</v>
          </cell>
          <cell r="W97">
            <v>-8.16</v>
          </cell>
          <cell r="X97">
            <v>336</v>
          </cell>
          <cell r="Y97">
            <v>0</v>
          </cell>
        </row>
        <row r="98">
          <cell r="B98" t="str">
            <v xml:space="preserve"> Treber</v>
          </cell>
          <cell r="C98">
            <v>80706</v>
          </cell>
          <cell r="D98">
            <v>2012</v>
          </cell>
          <cell r="E98">
            <v>24.7</v>
          </cell>
          <cell r="F98">
            <v>226</v>
          </cell>
          <cell r="G98">
            <v>158</v>
          </cell>
          <cell r="H98">
            <v>67</v>
          </cell>
          <cell r="I98">
            <v>41</v>
          </cell>
          <cell r="J98">
            <v>232</v>
          </cell>
          <cell r="K98">
            <v>624</v>
          </cell>
          <cell r="L98">
            <v>7.2</v>
          </cell>
          <cell r="M98">
            <v>2</v>
          </cell>
          <cell r="N98">
            <v>3</v>
          </cell>
          <cell r="O98">
            <v>0.1</v>
          </cell>
          <cell r="P98">
            <v>2</v>
          </cell>
          <cell r="R98">
            <v>195</v>
          </cell>
          <cell r="S98">
            <v>0</v>
          </cell>
          <cell r="T98">
            <v>6.56</v>
          </cell>
          <cell r="U98">
            <v>1</v>
          </cell>
          <cell r="W98">
            <v>4.96</v>
          </cell>
          <cell r="X98">
            <v>42</v>
          </cell>
          <cell r="Y98">
            <v>0</v>
          </cell>
        </row>
        <row r="99">
          <cell r="B99" t="str">
            <v>RES</v>
          </cell>
          <cell r="C99">
            <v>80709</v>
          </cell>
          <cell r="D99">
            <v>2012</v>
          </cell>
          <cell r="E99">
            <v>88.1</v>
          </cell>
          <cell r="F99">
            <v>377</v>
          </cell>
          <cell r="G99">
            <v>133</v>
          </cell>
          <cell r="H99">
            <v>11</v>
          </cell>
          <cell r="I99">
            <v>71</v>
          </cell>
          <cell r="J99">
            <v>199</v>
          </cell>
          <cell r="K99">
            <v>295</v>
          </cell>
          <cell r="L99">
            <v>14.9</v>
          </cell>
          <cell r="M99">
            <v>14</v>
          </cell>
          <cell r="N99">
            <v>7.8</v>
          </cell>
          <cell r="O99">
            <v>0.5</v>
          </cell>
          <cell r="P99">
            <v>5</v>
          </cell>
          <cell r="R99">
            <v>249</v>
          </cell>
          <cell r="S99">
            <v>0</v>
          </cell>
          <cell r="T99">
            <v>7.26</v>
          </cell>
          <cell r="W99">
            <v>20.48</v>
          </cell>
          <cell r="X99">
            <v>246</v>
          </cell>
          <cell r="Y99">
            <v>0</v>
          </cell>
        </row>
        <row r="100">
          <cell r="B100" t="str">
            <v xml:space="preserve"> Treber</v>
          </cell>
          <cell r="C100">
            <v>80710</v>
          </cell>
          <cell r="D100">
            <v>2012</v>
          </cell>
          <cell r="E100">
            <v>25.2</v>
          </cell>
          <cell r="F100">
            <v>237</v>
          </cell>
          <cell r="G100">
            <v>153</v>
          </cell>
          <cell r="H100">
            <v>73</v>
          </cell>
          <cell r="I100">
            <v>40</v>
          </cell>
          <cell r="J100">
            <v>218</v>
          </cell>
          <cell r="K100">
            <v>588</v>
          </cell>
          <cell r="L100">
            <v>7.2</v>
          </cell>
          <cell r="M100">
            <v>2</v>
          </cell>
          <cell r="N100">
            <v>3</v>
          </cell>
          <cell r="O100">
            <v>0.1</v>
          </cell>
          <cell r="P100">
            <v>2.2999999999999998</v>
          </cell>
          <cell r="R100">
            <v>200</v>
          </cell>
          <cell r="S100">
            <v>0</v>
          </cell>
          <cell r="T100">
            <v>6.65</v>
          </cell>
          <cell r="U100">
            <v>1</v>
          </cell>
          <cell r="W100">
            <v>5.92</v>
          </cell>
          <cell r="X100">
            <v>62</v>
          </cell>
          <cell r="Y100">
            <v>0</v>
          </cell>
        </row>
        <row r="101">
          <cell r="B101" t="str">
            <v>RES</v>
          </cell>
          <cell r="C101">
            <v>80711</v>
          </cell>
          <cell r="D101">
            <v>2012</v>
          </cell>
          <cell r="E101">
            <v>93.1</v>
          </cell>
          <cell r="F101">
            <v>393</v>
          </cell>
          <cell r="G101">
            <v>138</v>
          </cell>
          <cell r="H101">
            <v>18</v>
          </cell>
          <cell r="I101">
            <v>73</v>
          </cell>
          <cell r="J101">
            <v>207</v>
          </cell>
          <cell r="K101">
            <v>325</v>
          </cell>
          <cell r="L101">
            <v>16</v>
          </cell>
          <cell r="M101">
            <v>14</v>
          </cell>
          <cell r="N101">
            <v>7.4</v>
          </cell>
          <cell r="O101">
            <v>0.2</v>
          </cell>
          <cell r="P101">
            <v>5.0999999999999996</v>
          </cell>
          <cell r="R101">
            <v>256</v>
          </cell>
          <cell r="S101">
            <v>0</v>
          </cell>
          <cell r="T101">
            <v>7.31</v>
          </cell>
          <cell r="W101">
            <v>21.92</v>
          </cell>
          <cell r="X101">
            <v>191</v>
          </cell>
          <cell r="Y101">
            <v>0</v>
          </cell>
        </row>
        <row r="102">
          <cell r="B102" t="str">
            <v>Silo 5</v>
          </cell>
          <cell r="C102">
            <v>80712</v>
          </cell>
          <cell r="D102">
            <v>2011</v>
          </cell>
          <cell r="E102">
            <v>34.4</v>
          </cell>
          <cell r="F102">
            <v>168</v>
          </cell>
          <cell r="G102">
            <v>217</v>
          </cell>
          <cell r="H102">
            <v>37</v>
          </cell>
          <cell r="I102">
            <v>101</v>
          </cell>
          <cell r="J102">
            <v>479</v>
          </cell>
          <cell r="K102">
            <v>378</v>
          </cell>
          <cell r="L102">
            <v>5.5</v>
          </cell>
          <cell r="M102">
            <v>36</v>
          </cell>
          <cell r="N102">
            <v>5.4</v>
          </cell>
          <cell r="O102">
            <v>0.6</v>
          </cell>
          <cell r="P102">
            <v>1.8</v>
          </cell>
          <cell r="R102">
            <v>146</v>
          </cell>
          <cell r="S102">
            <v>0</v>
          </cell>
          <cell r="T102">
            <v>6.71</v>
          </cell>
          <cell r="U102">
            <v>2.4180000000000001</v>
          </cell>
          <cell r="V102">
            <v>90</v>
          </cell>
          <cell r="W102">
            <v>3.52</v>
          </cell>
          <cell r="X102">
            <v>316</v>
          </cell>
          <cell r="Y102">
            <v>0</v>
          </cell>
        </row>
        <row r="103">
          <cell r="B103" t="str">
            <v>Silo 8</v>
          </cell>
          <cell r="C103">
            <v>80713</v>
          </cell>
          <cell r="D103">
            <v>2011</v>
          </cell>
          <cell r="E103">
            <v>38.9</v>
          </cell>
          <cell r="F103">
            <v>91</v>
          </cell>
          <cell r="G103">
            <v>152</v>
          </cell>
          <cell r="H103">
            <v>43</v>
          </cell>
          <cell r="I103">
            <v>39</v>
          </cell>
          <cell r="J103">
            <v>153</v>
          </cell>
          <cell r="K103">
            <v>327</v>
          </cell>
          <cell r="L103">
            <v>3.8</v>
          </cell>
          <cell r="M103">
            <v>11</v>
          </cell>
          <cell r="N103">
            <v>2.2999999999999998</v>
          </cell>
          <cell r="O103">
            <v>0.1</v>
          </cell>
          <cell r="P103">
            <v>1.3</v>
          </cell>
          <cell r="R103">
            <v>146</v>
          </cell>
          <cell r="S103">
            <v>0</v>
          </cell>
          <cell r="T103">
            <v>7.38</v>
          </cell>
          <cell r="U103">
            <v>1.4476799999999999</v>
          </cell>
          <cell r="V103">
            <v>7</v>
          </cell>
          <cell r="W103">
            <v>-8.8000000000000007</v>
          </cell>
          <cell r="X103">
            <v>500</v>
          </cell>
          <cell r="Y103">
            <v>0</v>
          </cell>
        </row>
        <row r="104">
          <cell r="B104" t="str">
            <v xml:space="preserve"> Treber</v>
          </cell>
          <cell r="C104">
            <v>80714</v>
          </cell>
          <cell r="D104">
            <v>2012</v>
          </cell>
          <cell r="E104">
            <v>23.5</v>
          </cell>
          <cell r="F104">
            <v>248</v>
          </cell>
          <cell r="G104">
            <v>175</v>
          </cell>
          <cell r="H104">
            <v>66</v>
          </cell>
          <cell r="I104">
            <v>48</v>
          </cell>
          <cell r="J104">
            <v>310</v>
          </cell>
          <cell r="K104">
            <v>638</v>
          </cell>
          <cell r="L104">
            <v>7.7</v>
          </cell>
          <cell r="M104">
            <v>3</v>
          </cell>
          <cell r="N104">
            <v>2.2000000000000002</v>
          </cell>
          <cell r="O104">
            <v>0.1</v>
          </cell>
          <cell r="P104">
            <v>2.2999999999999998</v>
          </cell>
          <cell r="R104">
            <v>203</v>
          </cell>
          <cell r="S104">
            <v>0</v>
          </cell>
          <cell r="T104">
            <v>6.53</v>
          </cell>
          <cell r="U104">
            <v>1</v>
          </cell>
          <cell r="V104">
            <v>3</v>
          </cell>
          <cell r="W104">
            <v>7.2</v>
          </cell>
          <cell r="X104">
            <v>0</v>
          </cell>
          <cell r="Y104">
            <v>0</v>
          </cell>
        </row>
        <row r="105">
          <cell r="B105" t="str">
            <v>WGM 30/35/35</v>
          </cell>
          <cell r="C105">
            <v>80715</v>
          </cell>
          <cell r="D105">
            <v>2012</v>
          </cell>
          <cell r="E105">
            <v>89</v>
          </cell>
          <cell r="F105">
            <v>123</v>
          </cell>
          <cell r="G105">
            <v>14</v>
          </cell>
          <cell r="H105">
            <v>39</v>
          </cell>
          <cell r="I105">
            <v>20</v>
          </cell>
          <cell r="J105">
            <v>20</v>
          </cell>
          <cell r="K105">
            <v>352</v>
          </cell>
          <cell r="L105">
            <v>5.2</v>
          </cell>
          <cell r="M105">
            <v>7</v>
          </cell>
          <cell r="N105">
            <v>0.7</v>
          </cell>
          <cell r="O105">
            <v>0.1</v>
          </cell>
          <cell r="P105">
            <v>1.3</v>
          </cell>
          <cell r="R105">
            <v>178</v>
          </cell>
          <cell r="S105">
            <v>0</v>
          </cell>
          <cell r="T105">
            <v>9.1999999999999993</v>
          </cell>
          <cell r="W105">
            <v>-8.8000000000000007</v>
          </cell>
          <cell r="X105">
            <v>466</v>
          </cell>
          <cell r="Y105">
            <v>0</v>
          </cell>
        </row>
        <row r="106">
          <cell r="B106" t="str">
            <v>RES</v>
          </cell>
          <cell r="C106">
            <v>80716</v>
          </cell>
          <cell r="D106">
            <v>2012</v>
          </cell>
          <cell r="E106">
            <v>93.3</v>
          </cell>
          <cell r="F106">
            <v>391</v>
          </cell>
          <cell r="G106">
            <v>143</v>
          </cell>
          <cell r="H106">
            <v>18</v>
          </cell>
          <cell r="I106">
            <v>73</v>
          </cell>
          <cell r="J106">
            <v>235</v>
          </cell>
          <cell r="K106">
            <v>344</v>
          </cell>
          <cell r="L106">
            <v>15.2</v>
          </cell>
          <cell r="M106">
            <v>15</v>
          </cell>
          <cell r="N106">
            <v>7.1</v>
          </cell>
          <cell r="O106">
            <v>0.1</v>
          </cell>
          <cell r="P106">
            <v>5.0999999999999996</v>
          </cell>
          <cell r="R106">
            <v>255</v>
          </cell>
          <cell r="S106">
            <v>0</v>
          </cell>
          <cell r="T106">
            <v>7.31</v>
          </cell>
          <cell r="W106">
            <v>21.76</v>
          </cell>
          <cell r="X106">
            <v>174</v>
          </cell>
          <cell r="Y106">
            <v>0</v>
          </cell>
        </row>
        <row r="107">
          <cell r="B107" t="str">
            <v>Stroh, Weizen</v>
          </cell>
          <cell r="C107">
            <v>80717</v>
          </cell>
          <cell r="D107">
            <v>2011</v>
          </cell>
          <cell r="E107">
            <v>91.4</v>
          </cell>
          <cell r="F107">
            <v>53</v>
          </cell>
          <cell r="G107">
            <v>428</v>
          </cell>
          <cell r="H107">
            <v>17</v>
          </cell>
          <cell r="I107">
            <v>52</v>
          </cell>
          <cell r="J107">
            <v>493</v>
          </cell>
          <cell r="K107">
            <v>738</v>
          </cell>
          <cell r="L107">
            <v>1.4</v>
          </cell>
          <cell r="M107">
            <v>11.1</v>
          </cell>
          <cell r="N107">
            <v>2.8</v>
          </cell>
          <cell r="O107">
            <v>0.1</v>
          </cell>
          <cell r="P107">
            <v>1</v>
          </cell>
          <cell r="R107">
            <v>83</v>
          </cell>
          <cell r="S107">
            <v>0</v>
          </cell>
          <cell r="U107">
            <v>4.3</v>
          </cell>
          <cell r="W107">
            <v>-4.8</v>
          </cell>
          <cell r="X107">
            <v>140</v>
          </cell>
          <cell r="Y107">
            <v>0</v>
          </cell>
        </row>
        <row r="108">
          <cell r="B108" t="str">
            <v>Pressschnitzel</v>
          </cell>
          <cell r="C108">
            <v>80718</v>
          </cell>
          <cell r="D108">
            <v>2011</v>
          </cell>
          <cell r="E108">
            <v>32.299999999999997</v>
          </cell>
          <cell r="F108">
            <v>81</v>
          </cell>
          <cell r="G108">
            <v>238</v>
          </cell>
          <cell r="H108">
            <v>5</v>
          </cell>
          <cell r="I108">
            <v>62</v>
          </cell>
          <cell r="J108">
            <v>227</v>
          </cell>
          <cell r="K108">
            <v>524</v>
          </cell>
          <cell r="L108">
            <v>1.1000000000000001</v>
          </cell>
          <cell r="M108">
            <v>5</v>
          </cell>
          <cell r="N108">
            <v>9.1</v>
          </cell>
          <cell r="O108">
            <v>0.7</v>
          </cell>
          <cell r="P108">
            <v>2.2000000000000002</v>
          </cell>
          <cell r="R108">
            <v>142</v>
          </cell>
          <cell r="S108">
            <v>0</v>
          </cell>
          <cell r="T108">
            <v>7.39</v>
          </cell>
          <cell r="V108">
            <v>46</v>
          </cell>
          <cell r="W108">
            <v>-9.76</v>
          </cell>
          <cell r="X108">
            <v>328</v>
          </cell>
          <cell r="Y108">
            <v>0</v>
          </cell>
        </row>
        <row r="109">
          <cell r="B109" t="str">
            <v xml:space="preserve"> Treber</v>
          </cell>
          <cell r="C109">
            <v>80719</v>
          </cell>
          <cell r="D109">
            <v>2012</v>
          </cell>
          <cell r="E109">
            <v>23.1</v>
          </cell>
          <cell r="F109">
            <v>239</v>
          </cell>
          <cell r="G109">
            <v>194</v>
          </cell>
          <cell r="H109">
            <v>92</v>
          </cell>
          <cell r="I109">
            <v>46</v>
          </cell>
          <cell r="J109">
            <v>305</v>
          </cell>
          <cell r="K109">
            <v>621</v>
          </cell>
          <cell r="L109">
            <v>10.9</v>
          </cell>
          <cell r="M109">
            <v>3</v>
          </cell>
          <cell r="N109">
            <v>5</v>
          </cell>
          <cell r="O109">
            <v>0.1</v>
          </cell>
          <cell r="P109">
            <v>2.8</v>
          </cell>
          <cell r="R109">
            <v>203</v>
          </cell>
          <cell r="S109">
            <v>0</v>
          </cell>
          <cell r="T109">
            <v>6.76</v>
          </cell>
          <cell r="U109">
            <v>1</v>
          </cell>
          <cell r="W109">
            <v>5.76</v>
          </cell>
          <cell r="X109">
            <v>2</v>
          </cell>
          <cell r="Y109">
            <v>0</v>
          </cell>
        </row>
        <row r="110">
          <cell r="B110" t="str">
            <v xml:space="preserve"> Treber</v>
          </cell>
          <cell r="C110">
            <v>80720</v>
          </cell>
          <cell r="D110">
            <v>2012</v>
          </cell>
          <cell r="E110">
            <v>22.2</v>
          </cell>
          <cell r="F110">
            <v>238</v>
          </cell>
          <cell r="G110">
            <v>256</v>
          </cell>
          <cell r="H110">
            <v>86</v>
          </cell>
          <cell r="I110">
            <v>39</v>
          </cell>
          <cell r="J110">
            <v>295</v>
          </cell>
          <cell r="K110">
            <v>636</v>
          </cell>
          <cell r="L110">
            <v>6.6</v>
          </cell>
          <cell r="M110">
            <v>1.9</v>
          </cell>
          <cell r="N110">
            <v>3.5</v>
          </cell>
          <cell r="O110">
            <v>0.1</v>
          </cell>
          <cell r="P110">
            <v>1.5</v>
          </cell>
          <cell r="R110">
            <v>160</v>
          </cell>
          <cell r="S110">
            <v>0</v>
          </cell>
          <cell r="T110">
            <v>6.71</v>
          </cell>
          <cell r="U110">
            <v>1</v>
          </cell>
          <cell r="W110">
            <v>12.48</v>
          </cell>
          <cell r="X110">
            <v>1</v>
          </cell>
          <cell r="Y110">
            <v>0</v>
          </cell>
        </row>
        <row r="111">
          <cell r="B111" t="str">
            <v>Silo 9</v>
          </cell>
          <cell r="C111">
            <v>80721</v>
          </cell>
          <cell r="D111">
            <v>2012</v>
          </cell>
          <cell r="E111">
            <v>33</v>
          </cell>
          <cell r="F111">
            <v>180</v>
          </cell>
          <cell r="G111">
            <v>354</v>
          </cell>
          <cell r="H111">
            <v>28</v>
          </cell>
          <cell r="I111">
            <v>102</v>
          </cell>
          <cell r="J111">
            <v>281</v>
          </cell>
          <cell r="K111">
            <v>485</v>
          </cell>
          <cell r="L111">
            <v>5</v>
          </cell>
          <cell r="M111">
            <v>31</v>
          </cell>
          <cell r="N111">
            <v>4.7</v>
          </cell>
          <cell r="O111">
            <v>2</v>
          </cell>
          <cell r="P111">
            <v>1.9</v>
          </cell>
          <cell r="R111">
            <v>145</v>
          </cell>
          <cell r="S111">
            <v>0</v>
          </cell>
          <cell r="T111">
            <v>6.46</v>
          </cell>
          <cell r="U111">
            <v>3.06</v>
          </cell>
          <cell r="W111">
            <v>5.6</v>
          </cell>
          <cell r="X111">
            <v>205</v>
          </cell>
          <cell r="Y111">
            <v>0</v>
          </cell>
        </row>
        <row r="112">
          <cell r="B112" t="str">
            <v>Silo 5</v>
          </cell>
          <cell r="C112">
            <v>80722</v>
          </cell>
          <cell r="D112">
            <v>2011</v>
          </cell>
          <cell r="E112">
            <v>35.799999999999997</v>
          </cell>
          <cell r="F112">
            <v>195</v>
          </cell>
          <cell r="G112">
            <v>291</v>
          </cell>
          <cell r="H112">
            <v>43</v>
          </cell>
          <cell r="I112">
            <v>107</v>
          </cell>
          <cell r="J112">
            <v>243</v>
          </cell>
          <cell r="K112">
            <v>368</v>
          </cell>
          <cell r="L112">
            <v>5.8</v>
          </cell>
          <cell r="M112">
            <v>7</v>
          </cell>
          <cell r="N112">
            <v>6.8</v>
          </cell>
          <cell r="O112">
            <v>1</v>
          </cell>
          <cell r="P112">
            <v>2.7</v>
          </cell>
          <cell r="R112">
            <v>152</v>
          </cell>
          <cell r="S112">
            <v>0</v>
          </cell>
          <cell r="T112">
            <v>6.83</v>
          </cell>
          <cell r="U112">
            <v>2.3580000000000001</v>
          </cell>
          <cell r="W112">
            <v>6.88</v>
          </cell>
          <cell r="X112">
            <v>287</v>
          </cell>
          <cell r="Y112">
            <v>0</v>
          </cell>
        </row>
        <row r="113">
          <cell r="B113" t="str">
            <v>Silo 8</v>
          </cell>
          <cell r="C113">
            <v>80723</v>
          </cell>
          <cell r="D113">
            <v>2011</v>
          </cell>
          <cell r="E113">
            <v>39.1</v>
          </cell>
          <cell r="F113">
            <v>78</v>
          </cell>
          <cell r="G113">
            <v>220</v>
          </cell>
          <cell r="H113">
            <v>53</v>
          </cell>
          <cell r="I113">
            <v>33</v>
          </cell>
          <cell r="J113">
            <v>152</v>
          </cell>
          <cell r="K113">
            <v>331</v>
          </cell>
          <cell r="L113">
            <v>2.7</v>
          </cell>
          <cell r="M113">
            <v>6.7</v>
          </cell>
          <cell r="N113">
            <v>2.2000000000000002</v>
          </cell>
          <cell r="O113">
            <v>0.1</v>
          </cell>
          <cell r="P113">
            <v>0.8</v>
          </cell>
          <cell r="R113">
            <v>145</v>
          </cell>
          <cell r="S113">
            <v>0</v>
          </cell>
          <cell r="T113">
            <v>7.59</v>
          </cell>
          <cell r="U113">
            <v>1.4726399999999999</v>
          </cell>
          <cell r="W113">
            <v>-10.72</v>
          </cell>
          <cell r="X113">
            <v>505</v>
          </cell>
          <cell r="Y113">
            <v>0</v>
          </cell>
        </row>
        <row r="114">
          <cell r="B114" t="str">
            <v>Pressschnitzel</v>
          </cell>
          <cell r="C114">
            <v>80724</v>
          </cell>
          <cell r="D114">
            <v>2011</v>
          </cell>
          <cell r="E114">
            <v>33.700000000000003</v>
          </cell>
          <cell r="F114">
            <v>81</v>
          </cell>
          <cell r="G114">
            <v>326</v>
          </cell>
          <cell r="H114">
            <v>7</v>
          </cell>
          <cell r="I114">
            <v>61</v>
          </cell>
          <cell r="J114">
            <v>195</v>
          </cell>
          <cell r="K114">
            <v>513</v>
          </cell>
          <cell r="L114">
            <v>1.1000000000000001</v>
          </cell>
          <cell r="M114">
            <v>3</v>
          </cell>
          <cell r="N114">
            <v>10</v>
          </cell>
          <cell r="O114">
            <v>0.5</v>
          </cell>
          <cell r="P114">
            <v>2.2999999999999998</v>
          </cell>
          <cell r="R114">
            <v>142</v>
          </cell>
          <cell r="S114">
            <v>0</v>
          </cell>
          <cell r="T114">
            <v>7.32</v>
          </cell>
          <cell r="W114">
            <v>-9.76</v>
          </cell>
          <cell r="X114">
            <v>338</v>
          </cell>
          <cell r="Y114">
            <v>0</v>
          </cell>
        </row>
        <row r="115">
          <cell r="B115" t="str">
            <v xml:space="preserve"> Treber</v>
          </cell>
          <cell r="C115">
            <v>80725</v>
          </cell>
          <cell r="D115">
            <v>2012</v>
          </cell>
          <cell r="E115">
            <v>24.4</v>
          </cell>
          <cell r="F115">
            <v>240</v>
          </cell>
          <cell r="G115">
            <v>256</v>
          </cell>
          <cell r="H115">
            <v>80</v>
          </cell>
          <cell r="I115">
            <v>43</v>
          </cell>
          <cell r="J115">
            <v>276</v>
          </cell>
          <cell r="K115">
            <v>626</v>
          </cell>
          <cell r="L115">
            <v>7.4</v>
          </cell>
          <cell r="M115">
            <v>2</v>
          </cell>
          <cell r="N115">
            <v>3.3</v>
          </cell>
          <cell r="O115">
            <v>0.1</v>
          </cell>
          <cell r="P115">
            <v>2.5</v>
          </cell>
          <cell r="R115">
            <v>202</v>
          </cell>
          <cell r="S115">
            <v>0</v>
          </cell>
          <cell r="T115">
            <v>6.63</v>
          </cell>
          <cell r="U115">
            <v>1</v>
          </cell>
          <cell r="W115">
            <v>6.08</v>
          </cell>
          <cell r="X115">
            <v>11</v>
          </cell>
          <cell r="Y115">
            <v>0</v>
          </cell>
        </row>
        <row r="116">
          <cell r="B116" t="str">
            <v>WGM 30/35/35</v>
          </cell>
          <cell r="C116">
            <v>80726</v>
          </cell>
          <cell r="D116">
            <v>2012</v>
          </cell>
          <cell r="E116">
            <v>89.4</v>
          </cell>
          <cell r="F116">
            <v>123</v>
          </cell>
          <cell r="G116">
            <v>39</v>
          </cell>
          <cell r="H116">
            <v>34</v>
          </cell>
          <cell r="I116">
            <v>24</v>
          </cell>
          <cell r="J116">
            <v>21</v>
          </cell>
          <cell r="K116">
            <v>333</v>
          </cell>
          <cell r="L116">
            <v>5.4</v>
          </cell>
          <cell r="M116">
            <v>5.7</v>
          </cell>
          <cell r="N116">
            <v>1.5</v>
          </cell>
          <cell r="O116">
            <v>0.1</v>
          </cell>
          <cell r="P116">
            <v>1.6</v>
          </cell>
          <cell r="R116">
            <v>176</v>
          </cell>
          <cell r="S116">
            <v>0</v>
          </cell>
          <cell r="T116">
            <v>8.92</v>
          </cell>
          <cell r="W116">
            <v>-8.48</v>
          </cell>
          <cell r="X116">
            <v>486</v>
          </cell>
          <cell r="Y116">
            <v>0</v>
          </cell>
        </row>
        <row r="117">
          <cell r="B117" t="str">
            <v>RES</v>
          </cell>
          <cell r="C117">
            <v>80727</v>
          </cell>
          <cell r="D117">
            <v>2012</v>
          </cell>
          <cell r="E117">
            <v>93.7</v>
          </cell>
          <cell r="F117">
            <v>378</v>
          </cell>
          <cell r="G117">
            <v>252</v>
          </cell>
          <cell r="H117">
            <v>17</v>
          </cell>
          <cell r="I117">
            <v>73</v>
          </cell>
          <cell r="J117">
            <v>230</v>
          </cell>
          <cell r="K117">
            <v>329</v>
          </cell>
          <cell r="L117">
            <v>15.3</v>
          </cell>
          <cell r="M117">
            <v>14</v>
          </cell>
          <cell r="N117">
            <v>7</v>
          </cell>
          <cell r="O117">
            <v>0.1</v>
          </cell>
          <cell r="P117">
            <v>4.8</v>
          </cell>
          <cell r="R117">
            <v>250</v>
          </cell>
          <cell r="S117">
            <v>0</v>
          </cell>
          <cell r="T117">
            <v>7.21</v>
          </cell>
          <cell r="W117">
            <v>20.48</v>
          </cell>
          <cell r="X117">
            <v>203</v>
          </cell>
          <cell r="Y117">
            <v>0</v>
          </cell>
        </row>
        <row r="118">
          <cell r="B118" t="str">
            <v>RES</v>
          </cell>
          <cell r="C118">
            <v>80728</v>
          </cell>
          <cell r="D118">
            <v>2012</v>
          </cell>
          <cell r="E118">
            <v>90.4</v>
          </cell>
          <cell r="F118">
            <v>369</v>
          </cell>
          <cell r="G118">
            <v>188</v>
          </cell>
          <cell r="H118">
            <v>29</v>
          </cell>
          <cell r="I118">
            <v>74</v>
          </cell>
          <cell r="J118">
            <v>194</v>
          </cell>
          <cell r="K118">
            <v>291</v>
          </cell>
          <cell r="L118">
            <v>14.7</v>
          </cell>
          <cell r="M118">
            <v>13</v>
          </cell>
          <cell r="N118">
            <v>7.1</v>
          </cell>
          <cell r="O118">
            <v>0.7</v>
          </cell>
          <cell r="P118">
            <v>4.9000000000000004</v>
          </cell>
          <cell r="R118">
            <v>248</v>
          </cell>
          <cell r="S118">
            <v>0</v>
          </cell>
          <cell r="T118">
            <v>7.33</v>
          </cell>
          <cell r="W118">
            <v>19.36</v>
          </cell>
          <cell r="X118">
            <v>237</v>
          </cell>
          <cell r="Y118">
            <v>0</v>
          </cell>
        </row>
        <row r="119">
          <cell r="B119" t="str">
            <v>Silo 8</v>
          </cell>
          <cell r="C119">
            <v>80729</v>
          </cell>
          <cell r="D119">
            <v>2011</v>
          </cell>
          <cell r="E119">
            <v>39.4</v>
          </cell>
          <cell r="F119">
            <v>77</v>
          </cell>
          <cell r="G119">
            <v>164</v>
          </cell>
          <cell r="H119">
            <v>35</v>
          </cell>
          <cell r="I119">
            <v>38</v>
          </cell>
          <cell r="J119">
            <v>140</v>
          </cell>
          <cell r="K119">
            <v>266</v>
          </cell>
          <cell r="L119">
            <v>3.5</v>
          </cell>
          <cell r="M119">
            <v>10</v>
          </cell>
          <cell r="N119">
            <v>2.2000000000000002</v>
          </cell>
          <cell r="O119">
            <v>0.1</v>
          </cell>
          <cell r="P119">
            <v>1</v>
          </cell>
          <cell r="R119">
            <v>142</v>
          </cell>
          <cell r="S119">
            <v>0</v>
          </cell>
          <cell r="T119">
            <v>7.4</v>
          </cell>
          <cell r="U119">
            <v>1.0670400000000002</v>
          </cell>
          <cell r="V119">
            <v>6</v>
          </cell>
          <cell r="W119">
            <v>-10.4</v>
          </cell>
          <cell r="X119">
            <v>584</v>
          </cell>
          <cell r="Y119">
            <v>0</v>
          </cell>
        </row>
        <row r="120">
          <cell r="B120" t="str">
            <v>Silo 5</v>
          </cell>
          <cell r="C120">
            <v>80730</v>
          </cell>
          <cell r="D120">
            <v>2011</v>
          </cell>
          <cell r="E120">
            <v>35.9</v>
          </cell>
          <cell r="F120">
            <v>181</v>
          </cell>
          <cell r="G120">
            <v>283</v>
          </cell>
          <cell r="H120">
            <v>42</v>
          </cell>
          <cell r="I120">
            <v>104</v>
          </cell>
          <cell r="J120">
            <v>229</v>
          </cell>
          <cell r="K120">
            <v>355</v>
          </cell>
          <cell r="L120">
            <v>5.2</v>
          </cell>
          <cell r="M120">
            <v>32</v>
          </cell>
          <cell r="N120">
            <v>6.1</v>
          </cell>
          <cell r="O120">
            <v>0.7</v>
          </cell>
          <cell r="P120">
            <v>2.2000000000000002</v>
          </cell>
          <cell r="R120">
            <v>152</v>
          </cell>
          <cell r="S120">
            <v>0</v>
          </cell>
          <cell r="T120">
            <v>6.96</v>
          </cell>
          <cell r="U120">
            <v>2.2799999999999998</v>
          </cell>
          <cell r="V120">
            <v>44</v>
          </cell>
          <cell r="W120">
            <v>4.6399999999999997</v>
          </cell>
          <cell r="X120">
            <v>318</v>
          </cell>
          <cell r="Y120">
            <v>0</v>
          </cell>
        </row>
        <row r="121">
          <cell r="B121" t="str">
            <v>Pressschnitzel</v>
          </cell>
          <cell r="C121">
            <v>80731</v>
          </cell>
          <cell r="D121">
            <v>2011</v>
          </cell>
          <cell r="E121">
            <v>33.1</v>
          </cell>
          <cell r="F121">
            <v>80</v>
          </cell>
          <cell r="G121">
            <v>332</v>
          </cell>
          <cell r="H121">
            <v>6</v>
          </cell>
          <cell r="I121">
            <v>61</v>
          </cell>
          <cell r="J121">
            <v>200</v>
          </cell>
          <cell r="K121">
            <v>524</v>
          </cell>
          <cell r="L121">
            <v>1.2</v>
          </cell>
          <cell r="M121">
            <v>3</v>
          </cell>
          <cell r="N121">
            <v>9.6</v>
          </cell>
          <cell r="O121">
            <v>0.6</v>
          </cell>
          <cell r="P121">
            <v>2.2000000000000002</v>
          </cell>
          <cell r="R121">
            <v>141</v>
          </cell>
          <cell r="S121">
            <v>0</v>
          </cell>
          <cell r="T121">
            <v>7.31</v>
          </cell>
          <cell r="V121">
            <v>42</v>
          </cell>
          <cell r="W121">
            <v>-9.76</v>
          </cell>
          <cell r="X121">
            <v>329</v>
          </cell>
          <cell r="Y121">
            <v>0</v>
          </cell>
        </row>
        <row r="122">
          <cell r="B122" t="str">
            <v xml:space="preserve"> Treber</v>
          </cell>
          <cell r="C122">
            <v>80732</v>
          </cell>
          <cell r="D122">
            <v>2012</v>
          </cell>
          <cell r="E122">
            <v>24.5</v>
          </cell>
          <cell r="F122">
            <v>248</v>
          </cell>
          <cell r="G122">
            <v>296</v>
          </cell>
          <cell r="H122">
            <v>80</v>
          </cell>
          <cell r="I122">
            <v>41</v>
          </cell>
          <cell r="J122">
            <v>306</v>
          </cell>
          <cell r="K122">
            <v>627</v>
          </cell>
          <cell r="L122">
            <v>7.7</v>
          </cell>
          <cell r="M122">
            <v>2</v>
          </cell>
          <cell r="N122">
            <v>4.2</v>
          </cell>
          <cell r="O122">
            <v>0.2</v>
          </cell>
          <cell r="P122">
            <v>1.9</v>
          </cell>
          <cell r="R122">
            <v>205</v>
          </cell>
          <cell r="S122">
            <v>0</v>
          </cell>
          <cell r="T122">
            <v>6.63</v>
          </cell>
          <cell r="U122">
            <v>1</v>
          </cell>
          <cell r="W122">
            <v>6.88</v>
          </cell>
          <cell r="X122">
            <v>4</v>
          </cell>
          <cell r="Y122">
            <v>0</v>
          </cell>
        </row>
        <row r="123">
          <cell r="B123" t="str">
            <v>WGM 30/35/35</v>
          </cell>
          <cell r="C123">
            <v>80733</v>
          </cell>
          <cell r="D123">
            <v>2012</v>
          </cell>
          <cell r="E123">
            <v>89.6</v>
          </cell>
          <cell r="F123">
            <v>119</v>
          </cell>
          <cell r="G123">
            <v>43</v>
          </cell>
          <cell r="H123">
            <v>39</v>
          </cell>
          <cell r="I123">
            <v>26</v>
          </cell>
          <cell r="J123">
            <v>24</v>
          </cell>
          <cell r="K123">
            <v>339</v>
          </cell>
          <cell r="L123">
            <v>5.4</v>
          </cell>
          <cell r="M123">
            <v>6</v>
          </cell>
          <cell r="N123">
            <v>1.1000000000000001</v>
          </cell>
          <cell r="O123">
            <v>0.1</v>
          </cell>
          <cell r="P123">
            <v>1.5</v>
          </cell>
          <cell r="R123">
            <v>176</v>
          </cell>
          <cell r="S123">
            <v>0</v>
          </cell>
          <cell r="T123">
            <v>9.0399999999999991</v>
          </cell>
          <cell r="W123">
            <v>-9.1199999999999992</v>
          </cell>
          <cell r="X123">
            <v>477</v>
          </cell>
          <cell r="Y123">
            <v>0</v>
          </cell>
        </row>
        <row r="124">
          <cell r="B124" t="str">
            <v>RES</v>
          </cell>
          <cell r="C124">
            <v>80734</v>
          </cell>
          <cell r="D124">
            <v>2012</v>
          </cell>
          <cell r="E124">
            <v>90.7</v>
          </cell>
          <cell r="F124">
            <v>371</v>
          </cell>
          <cell r="G124">
            <v>189</v>
          </cell>
          <cell r="H124">
            <v>24</v>
          </cell>
          <cell r="I124">
            <v>74</v>
          </cell>
          <cell r="J124">
            <v>212</v>
          </cell>
          <cell r="K124">
            <v>283</v>
          </cell>
          <cell r="L124">
            <v>14.3</v>
          </cell>
          <cell r="M124">
            <v>14</v>
          </cell>
          <cell r="N124">
            <v>7.2</v>
          </cell>
          <cell r="O124">
            <v>0.7</v>
          </cell>
          <cell r="P124">
            <v>4.5</v>
          </cell>
          <cell r="R124">
            <v>248</v>
          </cell>
          <cell r="S124">
            <v>0</v>
          </cell>
          <cell r="T124">
            <v>7.3</v>
          </cell>
          <cell r="W124">
            <v>19.68</v>
          </cell>
          <cell r="X124">
            <v>248</v>
          </cell>
          <cell r="Y124">
            <v>0</v>
          </cell>
        </row>
        <row r="125">
          <cell r="B125" t="str">
            <v>Stroh, Weizen</v>
          </cell>
          <cell r="C125">
            <v>80735</v>
          </cell>
          <cell r="D125">
            <v>2011</v>
          </cell>
          <cell r="E125">
            <v>90.9</v>
          </cell>
          <cell r="F125">
            <v>65</v>
          </cell>
          <cell r="G125">
            <v>494</v>
          </cell>
          <cell r="H125">
            <v>20</v>
          </cell>
          <cell r="I125">
            <v>72</v>
          </cell>
          <cell r="J125">
            <v>444</v>
          </cell>
          <cell r="K125">
            <v>723</v>
          </cell>
          <cell r="L125">
            <v>1.9</v>
          </cell>
          <cell r="M125">
            <v>13</v>
          </cell>
          <cell r="N125">
            <v>3.4</v>
          </cell>
          <cell r="O125">
            <v>0.1</v>
          </cell>
          <cell r="P125">
            <v>0.8</v>
          </cell>
          <cell r="R125">
            <v>87</v>
          </cell>
          <cell r="S125">
            <v>0</v>
          </cell>
          <cell r="T125">
            <v>3.5</v>
          </cell>
          <cell r="U125">
            <v>4.3</v>
          </cell>
          <cell r="W125">
            <v>-3.52</v>
          </cell>
          <cell r="X125">
            <v>120</v>
          </cell>
          <cell r="Y125">
            <v>0</v>
          </cell>
        </row>
        <row r="126">
          <cell r="B126" t="str">
            <v>RES</v>
          </cell>
          <cell r="C126">
            <v>80736</v>
          </cell>
          <cell r="D126">
            <v>2012</v>
          </cell>
          <cell r="E126">
            <v>87.9</v>
          </cell>
          <cell r="F126">
            <v>379</v>
          </cell>
          <cell r="G126">
            <v>167</v>
          </cell>
          <cell r="H126">
            <v>16</v>
          </cell>
          <cell r="I126">
            <v>72</v>
          </cell>
          <cell r="J126">
            <v>213</v>
          </cell>
          <cell r="K126">
            <v>290</v>
          </cell>
          <cell r="L126">
            <v>14.1</v>
          </cell>
          <cell r="M126">
            <v>14</v>
          </cell>
          <cell r="N126">
            <v>8</v>
          </cell>
          <cell r="O126">
            <v>0.6</v>
          </cell>
          <cell r="P126">
            <v>4.8</v>
          </cell>
          <cell r="R126">
            <v>250</v>
          </cell>
          <cell r="S126">
            <v>0</v>
          </cell>
          <cell r="T126">
            <v>7.28</v>
          </cell>
          <cell r="W126">
            <v>20.64</v>
          </cell>
          <cell r="X126">
            <v>243</v>
          </cell>
          <cell r="Y126">
            <v>0</v>
          </cell>
        </row>
        <row r="127">
          <cell r="B127" t="str">
            <v xml:space="preserve"> Treber</v>
          </cell>
          <cell r="C127">
            <v>80737</v>
          </cell>
          <cell r="D127">
            <v>2012</v>
          </cell>
          <cell r="E127">
            <v>26</v>
          </cell>
          <cell r="F127">
            <v>242</v>
          </cell>
          <cell r="G127">
            <v>311</v>
          </cell>
          <cell r="H127">
            <v>83</v>
          </cell>
          <cell r="I127">
            <v>46</v>
          </cell>
          <cell r="J127">
            <v>293</v>
          </cell>
          <cell r="K127">
            <v>625</v>
          </cell>
          <cell r="L127">
            <v>7.1</v>
          </cell>
          <cell r="M127">
            <v>1</v>
          </cell>
          <cell r="N127">
            <v>4.3</v>
          </cell>
          <cell r="O127">
            <v>0.2</v>
          </cell>
          <cell r="P127">
            <v>1.8</v>
          </cell>
          <cell r="R127">
            <v>202</v>
          </cell>
          <cell r="S127">
            <v>0</v>
          </cell>
          <cell r="T127">
            <v>6.61</v>
          </cell>
          <cell r="U127">
            <v>1</v>
          </cell>
          <cell r="W127">
            <v>6.4</v>
          </cell>
          <cell r="X127">
            <v>4</v>
          </cell>
          <cell r="Y127">
            <v>0</v>
          </cell>
        </row>
        <row r="128">
          <cell r="B128" t="str">
            <v>Silo 8</v>
          </cell>
          <cell r="C128">
            <v>80738</v>
          </cell>
          <cell r="D128">
            <v>2011</v>
          </cell>
          <cell r="E128">
            <v>35.799999999999997</v>
          </cell>
          <cell r="F128">
            <v>90</v>
          </cell>
          <cell r="G128">
            <v>177</v>
          </cell>
          <cell r="H128">
            <v>37</v>
          </cell>
          <cell r="I128">
            <v>45</v>
          </cell>
          <cell r="J128">
            <v>150</v>
          </cell>
          <cell r="K128">
            <v>287</v>
          </cell>
          <cell r="L128">
            <v>3.9</v>
          </cell>
          <cell r="M128">
            <v>11</v>
          </cell>
          <cell r="N128">
            <v>2.7</v>
          </cell>
          <cell r="O128">
            <v>0.1</v>
          </cell>
          <cell r="P128">
            <v>1.1000000000000001</v>
          </cell>
          <cell r="R128">
            <v>146</v>
          </cell>
          <cell r="S128">
            <v>0</v>
          </cell>
          <cell r="T128">
            <v>7.41</v>
          </cell>
          <cell r="U128">
            <v>1.1980800000000003</v>
          </cell>
          <cell r="W128">
            <v>-8.9600000000000009</v>
          </cell>
          <cell r="X128">
            <v>541</v>
          </cell>
          <cell r="Y128">
            <v>0</v>
          </cell>
        </row>
        <row r="129">
          <cell r="B129" t="str">
            <v>Silo 5</v>
          </cell>
          <cell r="C129">
            <v>80739</v>
          </cell>
          <cell r="D129">
            <v>2011</v>
          </cell>
          <cell r="E129">
            <v>28</v>
          </cell>
          <cell r="F129">
            <v>174</v>
          </cell>
          <cell r="G129">
            <v>309</v>
          </cell>
          <cell r="H129">
            <v>39</v>
          </cell>
          <cell r="I129">
            <v>112</v>
          </cell>
          <cell r="J129">
            <v>248</v>
          </cell>
          <cell r="K129">
            <v>355</v>
          </cell>
          <cell r="L129">
            <v>5.0999999999999996</v>
          </cell>
          <cell r="M129">
            <v>29</v>
          </cell>
          <cell r="N129">
            <v>6.6</v>
          </cell>
          <cell r="O129">
            <v>1.2</v>
          </cell>
          <cell r="P129">
            <v>2.4</v>
          </cell>
          <cell r="R129">
            <v>150</v>
          </cell>
          <cell r="S129">
            <v>0</v>
          </cell>
          <cell r="T129">
            <v>6.87</v>
          </cell>
          <cell r="U129">
            <v>2.2799999999999998</v>
          </cell>
          <cell r="V129">
            <v>53</v>
          </cell>
          <cell r="W129">
            <v>3.84</v>
          </cell>
          <cell r="X129">
            <v>320</v>
          </cell>
          <cell r="Y129">
            <v>0</v>
          </cell>
        </row>
        <row r="130">
          <cell r="B130" t="str">
            <v>Pressschnitzel</v>
          </cell>
          <cell r="C130">
            <v>80740</v>
          </cell>
          <cell r="D130">
            <v>2011</v>
          </cell>
          <cell r="E130">
            <v>32.200000000000003</v>
          </cell>
          <cell r="F130">
            <v>82</v>
          </cell>
          <cell r="G130">
            <v>309</v>
          </cell>
          <cell r="H130">
            <v>7</v>
          </cell>
          <cell r="I130">
            <v>61</v>
          </cell>
          <cell r="J130">
            <v>219</v>
          </cell>
          <cell r="K130">
            <v>514</v>
          </cell>
          <cell r="L130">
            <v>1.2</v>
          </cell>
          <cell r="M130">
            <v>3</v>
          </cell>
          <cell r="N130">
            <v>10.1</v>
          </cell>
          <cell r="O130">
            <v>0.5</v>
          </cell>
          <cell r="P130">
            <v>2.2000000000000002</v>
          </cell>
          <cell r="R130">
            <v>142</v>
          </cell>
          <cell r="S130">
            <v>0</v>
          </cell>
          <cell r="T130">
            <v>7.33</v>
          </cell>
          <cell r="W130">
            <v>-9.6</v>
          </cell>
          <cell r="X130">
            <v>336</v>
          </cell>
          <cell r="Y130">
            <v>0</v>
          </cell>
        </row>
        <row r="131">
          <cell r="B131" t="str">
            <v>WGM 30/35/35</v>
          </cell>
          <cell r="C131">
            <v>80741</v>
          </cell>
          <cell r="D131">
            <v>2011</v>
          </cell>
          <cell r="E131">
            <v>89.2</v>
          </cell>
          <cell r="F131">
            <v>121</v>
          </cell>
          <cell r="G131">
            <v>31</v>
          </cell>
          <cell r="H131">
            <v>36</v>
          </cell>
          <cell r="I131">
            <v>25</v>
          </cell>
          <cell r="J131">
            <v>24</v>
          </cell>
          <cell r="K131">
            <v>254</v>
          </cell>
          <cell r="L131">
            <v>4.9000000000000004</v>
          </cell>
          <cell r="M131">
            <v>6</v>
          </cell>
          <cell r="N131">
            <v>1.2</v>
          </cell>
          <cell r="O131">
            <v>0.1</v>
          </cell>
          <cell r="P131">
            <v>1.3</v>
          </cell>
          <cell r="R131">
            <v>176</v>
          </cell>
          <cell r="S131">
            <v>0</v>
          </cell>
          <cell r="T131">
            <v>9.0399999999999991</v>
          </cell>
          <cell r="W131">
            <v>-8.8000000000000007</v>
          </cell>
          <cell r="X131">
            <v>564</v>
          </cell>
          <cell r="Y131">
            <v>0</v>
          </cell>
        </row>
        <row r="132">
          <cell r="B132" t="str">
            <v>RES</v>
          </cell>
          <cell r="C132">
            <v>80742</v>
          </cell>
          <cell r="D132">
            <v>2011</v>
          </cell>
          <cell r="E132">
            <v>90.6</v>
          </cell>
          <cell r="F132">
            <v>368</v>
          </cell>
          <cell r="G132">
            <v>212</v>
          </cell>
          <cell r="H132">
            <v>21</v>
          </cell>
          <cell r="I132">
            <v>78</v>
          </cell>
          <cell r="J132">
            <v>221</v>
          </cell>
          <cell r="K132">
            <v>289</v>
          </cell>
          <cell r="L132">
            <v>14.3</v>
          </cell>
          <cell r="M132">
            <v>14</v>
          </cell>
          <cell r="N132">
            <v>7.8</v>
          </cell>
          <cell r="O132">
            <v>0.6</v>
          </cell>
          <cell r="P132">
            <v>4.5</v>
          </cell>
          <cell r="R132">
            <v>246</v>
          </cell>
          <cell r="S132">
            <v>0</v>
          </cell>
          <cell r="T132">
            <v>7.23</v>
          </cell>
          <cell r="W132">
            <v>19.52</v>
          </cell>
          <cell r="X132">
            <v>244</v>
          </cell>
          <cell r="Y132">
            <v>0</v>
          </cell>
        </row>
        <row r="133">
          <cell r="B133" t="str">
            <v xml:space="preserve"> Treber</v>
          </cell>
          <cell r="C133">
            <v>80745</v>
          </cell>
          <cell r="D133">
            <v>2012</v>
          </cell>
          <cell r="E133">
            <v>24</v>
          </cell>
          <cell r="F133">
            <v>261</v>
          </cell>
          <cell r="G133">
            <v>150</v>
          </cell>
          <cell r="H133">
            <v>89</v>
          </cell>
          <cell r="I133">
            <v>43</v>
          </cell>
          <cell r="J133">
            <v>246</v>
          </cell>
          <cell r="K133">
            <v>576</v>
          </cell>
          <cell r="L133">
            <v>8.1999999999999993</v>
          </cell>
          <cell r="M133">
            <v>2</v>
          </cell>
          <cell r="N133">
            <v>4.7</v>
          </cell>
          <cell r="O133">
            <v>0.2</v>
          </cell>
          <cell r="P133">
            <v>2.2000000000000002</v>
          </cell>
          <cell r="R133">
            <v>213</v>
          </cell>
          <cell r="S133">
            <v>0</v>
          </cell>
          <cell r="T133">
            <v>6.81</v>
          </cell>
          <cell r="U133">
            <v>1</v>
          </cell>
          <cell r="W133">
            <v>7.68</v>
          </cell>
          <cell r="X133">
            <v>31</v>
          </cell>
          <cell r="Y133">
            <v>0</v>
          </cell>
        </row>
        <row r="134">
          <cell r="B134" t="str">
            <v>Silo 3 G</v>
          </cell>
          <cell r="C134">
            <v>80747</v>
          </cell>
          <cell r="D134">
            <v>2012</v>
          </cell>
          <cell r="E134">
            <v>26.8</v>
          </cell>
          <cell r="F134">
            <v>169</v>
          </cell>
          <cell r="G134">
            <v>246</v>
          </cell>
          <cell r="H134">
            <v>35</v>
          </cell>
          <cell r="I134">
            <v>119</v>
          </cell>
          <cell r="J134">
            <v>259</v>
          </cell>
          <cell r="K134">
            <v>405</v>
          </cell>
          <cell r="L134">
            <v>5.3</v>
          </cell>
          <cell r="M134">
            <v>33</v>
          </cell>
          <cell r="N134">
            <v>6.9</v>
          </cell>
          <cell r="O134">
            <v>1</v>
          </cell>
          <cell r="P134">
            <v>2.2000000000000002</v>
          </cell>
          <cell r="R134">
            <v>145</v>
          </cell>
          <cell r="S134">
            <v>0</v>
          </cell>
          <cell r="T134">
            <v>6.63</v>
          </cell>
          <cell r="U134">
            <v>2.58</v>
          </cell>
          <cell r="W134">
            <v>3.84</v>
          </cell>
          <cell r="X134">
            <v>272</v>
          </cell>
          <cell r="Y134">
            <v>0</v>
          </cell>
        </row>
        <row r="135">
          <cell r="B135" t="str">
            <v>Silo 9</v>
          </cell>
          <cell r="C135">
            <v>80748</v>
          </cell>
          <cell r="D135">
            <v>2012</v>
          </cell>
          <cell r="E135">
            <v>36.200000000000003</v>
          </cell>
          <cell r="F135">
            <v>162</v>
          </cell>
          <cell r="G135">
            <v>251</v>
          </cell>
          <cell r="H135">
            <v>31</v>
          </cell>
          <cell r="I135">
            <v>115</v>
          </cell>
          <cell r="J135">
            <v>260</v>
          </cell>
          <cell r="K135">
            <v>452</v>
          </cell>
          <cell r="L135">
            <v>5.4</v>
          </cell>
          <cell r="M135">
            <v>34</v>
          </cell>
          <cell r="N135">
            <v>5.9</v>
          </cell>
          <cell r="O135">
            <v>1</v>
          </cell>
          <cell r="P135">
            <v>2.2000000000000002</v>
          </cell>
          <cell r="R135">
            <v>144</v>
          </cell>
          <cell r="S135">
            <v>0</v>
          </cell>
          <cell r="T135">
            <v>6.62</v>
          </cell>
          <cell r="U135">
            <v>2.8620000000000001</v>
          </cell>
          <cell r="W135">
            <v>2.88</v>
          </cell>
          <cell r="X135">
            <v>240</v>
          </cell>
          <cell r="Y135">
            <v>0</v>
          </cell>
        </row>
        <row r="136">
          <cell r="B136" t="str">
            <v>RES</v>
          </cell>
          <cell r="C136">
            <v>80749</v>
          </cell>
          <cell r="D136">
            <v>2012</v>
          </cell>
          <cell r="E136">
            <v>87.6</v>
          </cell>
          <cell r="F136">
            <v>392</v>
          </cell>
          <cell r="G136">
            <v>115</v>
          </cell>
          <cell r="H136">
            <v>10</v>
          </cell>
          <cell r="I136">
            <v>75</v>
          </cell>
          <cell r="J136">
            <v>184</v>
          </cell>
          <cell r="K136">
            <v>280</v>
          </cell>
          <cell r="L136">
            <v>15.9</v>
          </cell>
          <cell r="M136">
            <v>15</v>
          </cell>
          <cell r="N136">
            <v>8.1</v>
          </cell>
          <cell r="O136">
            <v>0.7</v>
          </cell>
          <cell r="P136">
            <v>5</v>
          </cell>
          <cell r="R136">
            <v>255</v>
          </cell>
          <cell r="S136">
            <v>0</v>
          </cell>
          <cell r="T136">
            <v>7.26</v>
          </cell>
          <cell r="W136">
            <v>21.92</v>
          </cell>
          <cell r="X136">
            <v>243</v>
          </cell>
          <cell r="Y136">
            <v>0</v>
          </cell>
        </row>
        <row r="137">
          <cell r="B137" t="str">
            <v>Silo 5</v>
          </cell>
          <cell r="C137">
            <v>80754</v>
          </cell>
          <cell r="D137">
            <v>2011</v>
          </cell>
          <cell r="E137">
            <v>29.4</v>
          </cell>
          <cell r="F137">
            <v>207</v>
          </cell>
          <cell r="G137">
            <v>252</v>
          </cell>
          <cell r="H137">
            <v>46</v>
          </cell>
          <cell r="I137">
            <v>104</v>
          </cell>
          <cell r="J137">
            <v>205</v>
          </cell>
          <cell r="K137">
            <v>376</v>
          </cell>
          <cell r="L137">
            <v>4.4000000000000004</v>
          </cell>
          <cell r="M137">
            <v>27</v>
          </cell>
          <cell r="N137">
            <v>7.4</v>
          </cell>
          <cell r="O137">
            <v>2.7</v>
          </cell>
          <cell r="P137">
            <v>2.4</v>
          </cell>
          <cell r="R137">
            <v>160</v>
          </cell>
          <cell r="S137">
            <v>0</v>
          </cell>
          <cell r="T137">
            <v>7.2</v>
          </cell>
          <cell r="U137">
            <v>2.4060000000000001</v>
          </cell>
          <cell r="V137">
            <v>8</v>
          </cell>
          <cell r="W137">
            <v>7.52</v>
          </cell>
          <cell r="X137">
            <v>267</v>
          </cell>
          <cell r="Y137">
            <v>0</v>
          </cell>
        </row>
        <row r="138">
          <cell r="B138" t="str">
            <v>Silo 8</v>
          </cell>
          <cell r="C138">
            <v>80769</v>
          </cell>
          <cell r="D138">
            <v>2011</v>
          </cell>
          <cell r="E138">
            <v>35.700000000000003</v>
          </cell>
          <cell r="F138">
            <v>79</v>
          </cell>
          <cell r="G138">
            <v>148</v>
          </cell>
          <cell r="H138">
            <v>35</v>
          </cell>
          <cell r="I138">
            <v>44</v>
          </cell>
          <cell r="J138">
            <v>142</v>
          </cell>
          <cell r="K138">
            <v>354</v>
          </cell>
          <cell r="L138">
            <v>3.6</v>
          </cell>
          <cell r="M138">
            <v>11</v>
          </cell>
          <cell r="N138">
            <v>2.5</v>
          </cell>
          <cell r="O138">
            <v>0.2</v>
          </cell>
          <cell r="P138">
            <v>0.9</v>
          </cell>
          <cell r="R138">
            <v>140</v>
          </cell>
          <cell r="S138">
            <v>0</v>
          </cell>
          <cell r="T138">
            <v>7.15</v>
          </cell>
          <cell r="U138">
            <v>1.6161600000000003</v>
          </cell>
          <cell r="V138">
            <v>10</v>
          </cell>
          <cell r="W138">
            <v>-9.76</v>
          </cell>
          <cell r="X138">
            <v>488</v>
          </cell>
          <cell r="Y138">
            <v>0</v>
          </cell>
        </row>
        <row r="139">
          <cell r="B139" t="str">
            <v>Silo 3 G</v>
          </cell>
          <cell r="C139">
            <v>80770</v>
          </cell>
          <cell r="D139">
            <v>2012</v>
          </cell>
          <cell r="F139">
            <v>176</v>
          </cell>
          <cell r="G139">
            <v>218</v>
          </cell>
          <cell r="H139">
            <v>28</v>
          </cell>
          <cell r="I139">
            <v>117</v>
          </cell>
          <cell r="J139">
            <v>224</v>
          </cell>
          <cell r="K139">
            <v>395</v>
          </cell>
          <cell r="L139">
            <v>4.4000000000000004</v>
          </cell>
          <cell r="M139">
            <v>24</v>
          </cell>
          <cell r="N139">
            <v>5.9</v>
          </cell>
          <cell r="O139">
            <v>2.1</v>
          </cell>
          <cell r="P139">
            <v>2.2999999999999998</v>
          </cell>
          <cell r="R139">
            <v>147</v>
          </cell>
          <cell r="S139">
            <v>0</v>
          </cell>
          <cell r="T139">
            <v>6.69</v>
          </cell>
          <cell r="U139">
            <v>2.52</v>
          </cell>
          <cell r="V139">
            <v>63</v>
          </cell>
          <cell r="W139">
            <v>4.6399999999999997</v>
          </cell>
          <cell r="X139">
            <v>284</v>
          </cell>
          <cell r="Y139">
            <v>0</v>
          </cell>
        </row>
        <row r="140">
          <cell r="B140" t="str">
            <v>RES</v>
          </cell>
          <cell r="C140">
            <v>80771</v>
          </cell>
          <cell r="D140">
            <v>2012</v>
          </cell>
          <cell r="E140">
            <v>87.9</v>
          </cell>
          <cell r="F140">
            <v>377</v>
          </cell>
          <cell r="G140">
            <v>130</v>
          </cell>
          <cell r="H140">
            <v>11</v>
          </cell>
          <cell r="I140">
            <v>72</v>
          </cell>
          <cell r="J140">
            <v>205</v>
          </cell>
          <cell r="K140">
            <v>302</v>
          </cell>
          <cell r="L140">
            <v>15.1</v>
          </cell>
          <cell r="M140">
            <v>13</v>
          </cell>
          <cell r="N140">
            <v>8</v>
          </cell>
          <cell r="O140">
            <v>0.6</v>
          </cell>
          <cell r="P140">
            <v>4.7</v>
          </cell>
          <cell r="R140">
            <v>249</v>
          </cell>
          <cell r="S140">
            <v>0</v>
          </cell>
          <cell r="T140">
            <v>7.25</v>
          </cell>
          <cell r="W140">
            <v>20.48</v>
          </cell>
          <cell r="X140">
            <v>238</v>
          </cell>
          <cell r="Y140">
            <v>0</v>
          </cell>
        </row>
        <row r="141">
          <cell r="B141" t="str">
            <v>Silo 3 G</v>
          </cell>
          <cell r="C141">
            <v>80772</v>
          </cell>
          <cell r="D141">
            <v>2012</v>
          </cell>
          <cell r="E141">
            <v>34.6</v>
          </cell>
          <cell r="F141">
            <v>180</v>
          </cell>
          <cell r="G141">
            <v>242</v>
          </cell>
          <cell r="H141">
            <v>39</v>
          </cell>
          <cell r="I141">
            <v>125</v>
          </cell>
          <cell r="J141">
            <v>234</v>
          </cell>
          <cell r="K141">
            <v>410</v>
          </cell>
          <cell r="L141">
            <v>5.2</v>
          </cell>
          <cell r="M141">
            <v>30</v>
          </cell>
          <cell r="N141">
            <v>6.9</v>
          </cell>
          <cell r="O141">
            <v>1.3</v>
          </cell>
          <cell r="P141">
            <v>2.6</v>
          </cell>
          <cell r="R141">
            <v>147</v>
          </cell>
          <cell r="S141">
            <v>0</v>
          </cell>
          <cell r="T141">
            <v>6.69</v>
          </cell>
          <cell r="U141">
            <v>2.61</v>
          </cell>
          <cell r="V141">
            <v>29</v>
          </cell>
          <cell r="W141">
            <v>5.28</v>
          </cell>
          <cell r="X141">
            <v>246</v>
          </cell>
          <cell r="Y141">
            <v>0</v>
          </cell>
        </row>
        <row r="142">
          <cell r="B142" t="str">
            <v>Silo 4</v>
          </cell>
          <cell r="C142">
            <v>80773</v>
          </cell>
          <cell r="D142">
            <v>2011</v>
          </cell>
          <cell r="E142">
            <v>33.299999999999997</v>
          </cell>
          <cell r="F142">
            <v>86</v>
          </cell>
          <cell r="G142">
            <v>159</v>
          </cell>
          <cell r="H142">
            <v>37</v>
          </cell>
          <cell r="I142">
            <v>44</v>
          </cell>
          <cell r="J142">
            <v>171</v>
          </cell>
          <cell r="K142">
            <v>446</v>
          </cell>
          <cell r="L142">
            <v>4.2</v>
          </cell>
          <cell r="M142">
            <v>9</v>
          </cell>
          <cell r="N142">
            <v>3.4</v>
          </cell>
          <cell r="O142">
            <v>0.3</v>
          </cell>
          <cell r="P142">
            <v>1.4</v>
          </cell>
          <cell r="R142">
            <v>138</v>
          </cell>
          <cell r="S142">
            <v>0</v>
          </cell>
          <cell r="T142">
            <v>6.91</v>
          </cell>
          <cell r="U142">
            <v>2.1902400000000002</v>
          </cell>
          <cell r="V142">
            <v>8</v>
          </cell>
          <cell r="W142">
            <v>-8.32</v>
          </cell>
          <cell r="X142">
            <v>387</v>
          </cell>
          <cell r="Y142">
            <v>0</v>
          </cell>
        </row>
        <row r="143">
          <cell r="B143" t="str">
            <v>Silo 3 G</v>
          </cell>
          <cell r="C143">
            <v>80774</v>
          </cell>
          <cell r="D143">
            <v>2012</v>
          </cell>
          <cell r="E143">
            <v>36.799999999999997</v>
          </cell>
          <cell r="F143">
            <v>165</v>
          </cell>
          <cell r="G143">
            <v>238</v>
          </cell>
          <cell r="H143">
            <v>33</v>
          </cell>
          <cell r="I143">
            <v>123</v>
          </cell>
          <cell r="J143">
            <v>242</v>
          </cell>
          <cell r="K143">
            <v>418</v>
          </cell>
          <cell r="L143">
            <v>4.9000000000000004</v>
          </cell>
          <cell r="M143">
            <v>25</v>
          </cell>
          <cell r="N143">
            <v>5.5</v>
          </cell>
          <cell r="O143">
            <v>1.3</v>
          </cell>
          <cell r="P143">
            <v>2.2000000000000002</v>
          </cell>
          <cell r="R143">
            <v>142</v>
          </cell>
          <cell r="S143">
            <v>0</v>
          </cell>
          <cell r="T143">
            <v>6.47</v>
          </cell>
          <cell r="U143">
            <v>2.6579999999999999</v>
          </cell>
          <cell r="W143">
            <v>3.68</v>
          </cell>
          <cell r="X143">
            <v>261</v>
          </cell>
          <cell r="Y143">
            <v>0</v>
          </cell>
        </row>
        <row r="144">
          <cell r="B144" t="str">
            <v>Silo 4</v>
          </cell>
          <cell r="C144">
            <v>80775</v>
          </cell>
          <cell r="D144">
            <v>2011</v>
          </cell>
          <cell r="E144">
            <v>30.8</v>
          </cell>
          <cell r="F144">
            <v>80</v>
          </cell>
          <cell r="G144">
            <v>156</v>
          </cell>
          <cell r="H144">
            <v>38</v>
          </cell>
          <cell r="I144">
            <v>46</v>
          </cell>
          <cell r="J144">
            <v>162</v>
          </cell>
          <cell r="K144">
            <v>453</v>
          </cell>
          <cell r="L144">
            <v>3.6</v>
          </cell>
          <cell r="M144">
            <v>9</v>
          </cell>
          <cell r="N144">
            <v>3</v>
          </cell>
          <cell r="O144">
            <v>0.2</v>
          </cell>
          <cell r="P144">
            <v>1.2</v>
          </cell>
          <cell r="R144">
            <v>137</v>
          </cell>
          <cell r="S144">
            <v>0</v>
          </cell>
          <cell r="T144">
            <v>6.93</v>
          </cell>
          <cell r="U144">
            <v>2.2339200000000003</v>
          </cell>
          <cell r="W144">
            <v>-9.1199999999999992</v>
          </cell>
          <cell r="X144">
            <v>383</v>
          </cell>
          <cell r="Y144">
            <v>0</v>
          </cell>
        </row>
        <row r="145">
          <cell r="B145" t="str">
            <v>Ackerbohnen</v>
          </cell>
          <cell r="C145">
            <v>80776</v>
          </cell>
          <cell r="D145">
            <v>2012</v>
          </cell>
          <cell r="E145">
            <v>89</v>
          </cell>
          <cell r="F145">
            <v>268</v>
          </cell>
          <cell r="G145">
            <v>188</v>
          </cell>
          <cell r="H145">
            <v>15</v>
          </cell>
          <cell r="I145">
            <v>38</v>
          </cell>
          <cell r="J145">
            <v>132</v>
          </cell>
          <cell r="K145">
            <v>180</v>
          </cell>
          <cell r="L145">
            <v>7.9</v>
          </cell>
          <cell r="M145">
            <v>13</v>
          </cell>
          <cell r="N145">
            <v>2</v>
          </cell>
          <cell r="O145">
            <v>0.2</v>
          </cell>
          <cell r="P145">
            <v>1.7</v>
          </cell>
          <cell r="R145">
            <v>189</v>
          </cell>
          <cell r="S145">
            <v>0</v>
          </cell>
          <cell r="T145">
            <v>8.52</v>
          </cell>
          <cell r="U145">
            <v>0.19</v>
          </cell>
          <cell r="V145">
            <v>40</v>
          </cell>
          <cell r="W145">
            <v>12.64</v>
          </cell>
          <cell r="X145">
            <v>499</v>
          </cell>
          <cell r="Y145">
            <v>0</v>
          </cell>
        </row>
        <row r="146">
          <cell r="B146" t="str">
            <v>Silo 1</v>
          </cell>
          <cell r="C146">
            <v>80777</v>
          </cell>
          <cell r="D146">
            <v>2012</v>
          </cell>
          <cell r="E146">
            <v>42.3</v>
          </cell>
          <cell r="F146">
            <v>144</v>
          </cell>
          <cell r="G146">
            <v>324</v>
          </cell>
          <cell r="H146">
            <v>39</v>
          </cell>
          <cell r="I146">
            <v>137</v>
          </cell>
          <cell r="J146">
            <v>259</v>
          </cell>
          <cell r="K146">
            <v>427</v>
          </cell>
          <cell r="L146">
            <v>6.4</v>
          </cell>
          <cell r="M146">
            <v>42</v>
          </cell>
          <cell r="N146">
            <v>5.8</v>
          </cell>
          <cell r="O146">
            <v>0.6</v>
          </cell>
          <cell r="P146">
            <v>2</v>
          </cell>
          <cell r="R146">
            <v>139</v>
          </cell>
          <cell r="S146">
            <v>0</v>
          </cell>
          <cell r="T146">
            <v>6.49</v>
          </cell>
          <cell r="U146">
            <v>2.7119999999999997</v>
          </cell>
          <cell r="V146">
            <v>28</v>
          </cell>
          <cell r="W146">
            <v>0.8</v>
          </cell>
          <cell r="X146">
            <v>253</v>
          </cell>
          <cell r="Y146">
            <v>0</v>
          </cell>
        </row>
        <row r="147">
          <cell r="B147" t="str">
            <v>Silo 2</v>
          </cell>
          <cell r="C147">
            <v>80778</v>
          </cell>
          <cell r="D147">
            <v>2012</v>
          </cell>
          <cell r="E147">
            <v>39.1</v>
          </cell>
          <cell r="F147">
            <v>151</v>
          </cell>
          <cell r="G147">
            <v>318</v>
          </cell>
          <cell r="H147">
            <v>33</v>
          </cell>
          <cell r="I147">
            <v>144</v>
          </cell>
          <cell r="J147">
            <v>264</v>
          </cell>
          <cell r="K147">
            <v>480</v>
          </cell>
          <cell r="L147">
            <v>4.5999999999999996</v>
          </cell>
          <cell r="M147">
            <v>27</v>
          </cell>
          <cell r="N147">
            <v>7.2</v>
          </cell>
          <cell r="O147">
            <v>2</v>
          </cell>
          <cell r="P147">
            <v>2</v>
          </cell>
          <cell r="Q147">
            <v>0</v>
          </cell>
          <cell r="R147">
            <v>136</v>
          </cell>
          <cell r="S147">
            <v>0</v>
          </cell>
          <cell r="T147">
            <v>6.26</v>
          </cell>
          <cell r="U147">
            <v>3.03</v>
          </cell>
          <cell r="V147">
            <v>63</v>
          </cell>
          <cell r="W147">
            <v>2.4</v>
          </cell>
          <cell r="X147">
            <v>192</v>
          </cell>
          <cell r="Y147">
            <v>0</v>
          </cell>
        </row>
        <row r="148">
          <cell r="B148" t="str">
            <v>Silo 7</v>
          </cell>
          <cell r="C148">
            <v>80779</v>
          </cell>
          <cell r="D148">
            <v>2012</v>
          </cell>
          <cell r="E148">
            <v>29.1</v>
          </cell>
          <cell r="F148">
            <v>150</v>
          </cell>
          <cell r="G148">
            <v>335</v>
          </cell>
          <cell r="H148">
            <v>32</v>
          </cell>
          <cell r="I148">
            <v>101</v>
          </cell>
          <cell r="J148">
            <v>301</v>
          </cell>
          <cell r="K148">
            <v>505</v>
          </cell>
          <cell r="L148">
            <v>5.3</v>
          </cell>
          <cell r="M148">
            <v>22</v>
          </cell>
          <cell r="N148">
            <v>7.3</v>
          </cell>
          <cell r="O148">
            <v>1.3</v>
          </cell>
          <cell r="P148">
            <v>2.5</v>
          </cell>
          <cell r="R148">
            <v>132</v>
          </cell>
          <cell r="S148">
            <v>0</v>
          </cell>
          <cell r="T148">
            <v>5.94</v>
          </cell>
          <cell r="U148">
            <v>3.18</v>
          </cell>
          <cell r="V148">
            <v>52</v>
          </cell>
          <cell r="W148">
            <v>2.88</v>
          </cell>
          <cell r="X148">
            <v>212</v>
          </cell>
          <cell r="Y148">
            <v>0</v>
          </cell>
        </row>
        <row r="149">
          <cell r="B149" t="str">
            <v>(Silo 7)</v>
          </cell>
          <cell r="C149">
            <v>80780</v>
          </cell>
          <cell r="D149">
            <v>2012</v>
          </cell>
          <cell r="E149">
            <v>19.8</v>
          </cell>
          <cell r="F149">
            <v>240</v>
          </cell>
          <cell r="G149">
            <v>336</v>
          </cell>
          <cell r="H149">
            <v>50</v>
          </cell>
          <cell r="I149">
            <v>186</v>
          </cell>
          <cell r="J149">
            <v>261</v>
          </cell>
          <cell r="K149">
            <v>419</v>
          </cell>
          <cell r="L149">
            <v>7.8</v>
          </cell>
          <cell r="M149">
            <v>50</v>
          </cell>
          <cell r="N149">
            <v>7.8</v>
          </cell>
          <cell r="O149">
            <v>0.6</v>
          </cell>
          <cell r="P149">
            <v>2.7</v>
          </cell>
          <cell r="Q149">
            <v>0</v>
          </cell>
          <cell r="R149">
            <v>151</v>
          </cell>
          <cell r="S149">
            <v>0</v>
          </cell>
          <cell r="T149">
            <v>6.38</v>
          </cell>
          <cell r="U149">
            <v>2.6640000000000001</v>
          </cell>
          <cell r="V149">
            <v>0</v>
          </cell>
          <cell r="W149">
            <v>14.24</v>
          </cell>
          <cell r="X149">
            <v>105</v>
          </cell>
          <cell r="Y149">
            <v>0</v>
          </cell>
        </row>
        <row r="150">
          <cell r="B150" t="str">
            <v>RES</v>
          </cell>
          <cell r="C150">
            <v>80782</v>
          </cell>
          <cell r="D150">
            <v>2012</v>
          </cell>
          <cell r="E150">
            <v>88</v>
          </cell>
          <cell r="F150">
            <v>393</v>
          </cell>
          <cell r="G150">
            <v>127</v>
          </cell>
          <cell r="H150">
            <v>15</v>
          </cell>
          <cell r="I150">
            <v>78</v>
          </cell>
          <cell r="J150">
            <v>195</v>
          </cell>
          <cell r="K150">
            <v>270</v>
          </cell>
          <cell r="L150">
            <v>16.8</v>
          </cell>
          <cell r="M150">
            <v>14</v>
          </cell>
          <cell r="N150">
            <v>8.1</v>
          </cell>
          <cell r="O150">
            <v>0.6</v>
          </cell>
          <cell r="P150">
            <v>5</v>
          </cell>
          <cell r="R150">
            <v>255</v>
          </cell>
          <cell r="S150">
            <v>0</v>
          </cell>
          <cell r="T150">
            <v>7.26</v>
          </cell>
          <cell r="U150">
            <v>0.36</v>
          </cell>
          <cell r="V150">
            <v>80</v>
          </cell>
          <cell r="W150">
            <v>22.08</v>
          </cell>
          <cell r="X150">
            <v>244</v>
          </cell>
          <cell r="Y150">
            <v>0</v>
          </cell>
        </row>
        <row r="151">
          <cell r="B151" t="str">
            <v>SES</v>
          </cell>
          <cell r="C151">
            <v>80783</v>
          </cell>
          <cell r="D151">
            <v>2012</v>
          </cell>
          <cell r="E151">
            <v>88.6</v>
          </cell>
          <cell r="F151">
            <v>484</v>
          </cell>
          <cell r="G151">
            <v>88</v>
          </cell>
          <cell r="H151">
            <v>13</v>
          </cell>
          <cell r="I151">
            <v>64</v>
          </cell>
          <cell r="J151">
            <v>110</v>
          </cell>
          <cell r="K151">
            <v>218</v>
          </cell>
          <cell r="L151">
            <v>8.4</v>
          </cell>
          <cell r="M151">
            <v>21</v>
          </cell>
          <cell r="N151">
            <v>4</v>
          </cell>
          <cell r="O151">
            <v>0.2</v>
          </cell>
          <cell r="P151">
            <v>3.8</v>
          </cell>
          <cell r="R151">
            <v>285</v>
          </cell>
          <cell r="S151">
            <v>0</v>
          </cell>
          <cell r="T151">
            <v>8.6199999999999992</v>
          </cell>
          <cell r="U151">
            <v>0.23</v>
          </cell>
          <cell r="V151">
            <v>115</v>
          </cell>
          <cell r="W151">
            <v>31.84</v>
          </cell>
          <cell r="X151">
            <v>221</v>
          </cell>
          <cell r="Y151">
            <v>0</v>
          </cell>
        </row>
        <row r="152">
          <cell r="B152" t="str">
            <v>RES</v>
          </cell>
          <cell r="C152">
            <v>80784</v>
          </cell>
          <cell r="D152">
            <v>2012</v>
          </cell>
          <cell r="E152">
            <v>88.4</v>
          </cell>
          <cell r="F152">
            <v>374</v>
          </cell>
          <cell r="G152">
            <v>124</v>
          </cell>
          <cell r="H152">
            <v>13</v>
          </cell>
          <cell r="I152">
            <v>78</v>
          </cell>
          <cell r="J152">
            <v>185</v>
          </cell>
          <cell r="K152">
            <v>273</v>
          </cell>
          <cell r="L152">
            <v>15.8</v>
          </cell>
          <cell r="M152">
            <v>14</v>
          </cell>
          <cell r="N152">
            <v>8</v>
          </cell>
          <cell r="O152">
            <v>1</v>
          </cell>
          <cell r="P152">
            <v>5.2</v>
          </cell>
          <cell r="R152">
            <v>248</v>
          </cell>
          <cell r="S152">
            <v>0</v>
          </cell>
          <cell r="T152">
            <v>7.23</v>
          </cell>
          <cell r="W152">
            <v>20.16</v>
          </cell>
          <cell r="X152">
            <v>262</v>
          </cell>
          <cell r="Y152">
            <v>0</v>
          </cell>
        </row>
        <row r="153">
          <cell r="B153" t="str">
            <v>SES</v>
          </cell>
          <cell r="C153">
            <v>80785</v>
          </cell>
          <cell r="D153">
            <v>2012</v>
          </cell>
          <cell r="E153">
            <v>88.5</v>
          </cell>
          <cell r="F153">
            <v>483</v>
          </cell>
          <cell r="G153">
            <v>92</v>
          </cell>
          <cell r="H153">
            <v>13</v>
          </cell>
          <cell r="I153">
            <v>66</v>
          </cell>
          <cell r="J153">
            <v>122</v>
          </cell>
          <cell r="K153">
            <v>223</v>
          </cell>
          <cell r="L153">
            <v>8.1</v>
          </cell>
          <cell r="M153">
            <v>21</v>
          </cell>
          <cell r="N153">
            <v>3.5</v>
          </cell>
          <cell r="O153">
            <v>0.5</v>
          </cell>
          <cell r="P153">
            <v>3.6</v>
          </cell>
          <cell r="R153">
            <v>285</v>
          </cell>
          <cell r="S153">
            <v>0</v>
          </cell>
          <cell r="T153">
            <v>8.6</v>
          </cell>
          <cell r="W153">
            <v>31.68</v>
          </cell>
          <cell r="X153">
            <v>215</v>
          </cell>
          <cell r="Y153">
            <v>0</v>
          </cell>
        </row>
        <row r="154">
          <cell r="B154" t="str">
            <v>WG 46,5/46,5</v>
          </cell>
          <cell r="C154">
            <v>80786</v>
          </cell>
          <cell r="D154">
            <v>2012</v>
          </cell>
          <cell r="E154">
            <v>89.1</v>
          </cell>
          <cell r="F154">
            <v>119</v>
          </cell>
          <cell r="G154">
            <v>113</v>
          </cell>
          <cell r="H154">
            <v>33</v>
          </cell>
          <cell r="I154">
            <v>68</v>
          </cell>
          <cell r="J154">
            <v>26</v>
          </cell>
          <cell r="K154">
            <v>388</v>
          </cell>
          <cell r="L154">
            <v>6.5</v>
          </cell>
          <cell r="M154">
            <v>6.5</v>
          </cell>
          <cell r="N154">
            <v>6.2</v>
          </cell>
          <cell r="O154">
            <v>8.4</v>
          </cell>
          <cell r="P154">
            <v>2.2000000000000002</v>
          </cell>
          <cell r="R154">
            <v>163</v>
          </cell>
          <cell r="S154">
            <v>0</v>
          </cell>
          <cell r="T154">
            <v>7.97</v>
          </cell>
          <cell r="W154">
            <v>-7.04</v>
          </cell>
          <cell r="X154">
            <v>392</v>
          </cell>
          <cell r="Y154">
            <v>0</v>
          </cell>
        </row>
        <row r="155">
          <cell r="B155" t="str">
            <v>Stroh, Gerste</v>
          </cell>
          <cell r="C155">
            <v>80787</v>
          </cell>
          <cell r="D155">
            <v>2012</v>
          </cell>
          <cell r="E155">
            <v>89.4</v>
          </cell>
          <cell r="F155">
            <v>53</v>
          </cell>
          <cell r="G155">
            <v>462</v>
          </cell>
          <cell r="H155">
            <v>16</v>
          </cell>
          <cell r="I155">
            <v>51</v>
          </cell>
          <cell r="J155">
            <v>484</v>
          </cell>
          <cell r="K155">
            <v>767</v>
          </cell>
          <cell r="L155">
            <v>1.3</v>
          </cell>
          <cell r="M155">
            <v>12</v>
          </cell>
          <cell r="N155">
            <v>4.5</v>
          </cell>
          <cell r="O155">
            <v>0.6</v>
          </cell>
          <cell r="P155">
            <v>0.9</v>
          </cell>
          <cell r="R155">
            <v>86</v>
          </cell>
          <cell r="S155">
            <v>0</v>
          </cell>
          <cell r="T155">
            <v>3.83</v>
          </cell>
          <cell r="U155">
            <v>4.3</v>
          </cell>
          <cell r="W155">
            <v>-5.28</v>
          </cell>
          <cell r="X155">
            <v>113</v>
          </cell>
          <cell r="Y155">
            <v>0</v>
          </cell>
        </row>
        <row r="156">
          <cell r="B156" t="str">
            <v>Heu, 2. S.</v>
          </cell>
          <cell r="C156">
            <v>80788</v>
          </cell>
          <cell r="D156">
            <v>2012</v>
          </cell>
          <cell r="E156">
            <v>90</v>
          </cell>
          <cell r="F156">
            <v>111</v>
          </cell>
          <cell r="G156">
            <v>299</v>
          </cell>
          <cell r="H156">
            <v>24</v>
          </cell>
          <cell r="I156">
            <v>68</v>
          </cell>
          <cell r="J156">
            <v>293</v>
          </cell>
          <cell r="K156">
            <v>526</v>
          </cell>
          <cell r="L156">
            <v>4.4000000000000004</v>
          </cell>
          <cell r="M156">
            <v>16</v>
          </cell>
          <cell r="N156">
            <v>5.2</v>
          </cell>
          <cell r="O156">
            <v>1.6</v>
          </cell>
          <cell r="P156">
            <v>2.4</v>
          </cell>
          <cell r="R156">
            <v>129</v>
          </cell>
          <cell r="S156">
            <v>0</v>
          </cell>
          <cell r="T156">
            <v>5.78</v>
          </cell>
          <cell r="U156">
            <v>3.3</v>
          </cell>
          <cell r="W156">
            <v>-2.88</v>
          </cell>
          <cell r="X156">
            <v>271</v>
          </cell>
          <cell r="Y156">
            <v>0</v>
          </cell>
        </row>
        <row r="157">
          <cell r="B157" t="str">
            <v>Melasseschnitzel</v>
          </cell>
          <cell r="C157">
            <v>80789</v>
          </cell>
          <cell r="D157">
            <v>2012</v>
          </cell>
          <cell r="E157">
            <v>91.7</v>
          </cell>
          <cell r="F157">
            <v>102</v>
          </cell>
          <cell r="G157">
            <v>166</v>
          </cell>
          <cell r="H157">
            <v>9</v>
          </cell>
          <cell r="I157">
            <v>89</v>
          </cell>
          <cell r="J157">
            <v>135</v>
          </cell>
          <cell r="K157">
            <v>310</v>
          </cell>
          <cell r="L157">
            <v>1.1000000000000001</v>
          </cell>
          <cell r="M157">
            <v>16</v>
          </cell>
          <cell r="N157">
            <v>7.7</v>
          </cell>
          <cell r="O157">
            <v>1</v>
          </cell>
          <cell r="P157">
            <v>1.6</v>
          </cell>
          <cell r="R157">
            <v>146</v>
          </cell>
          <cell r="S157">
            <v>0</v>
          </cell>
          <cell r="T157">
            <v>7.25</v>
          </cell>
          <cell r="U157">
            <v>0.25</v>
          </cell>
          <cell r="V157">
            <v>200</v>
          </cell>
          <cell r="W157">
            <v>-7.04</v>
          </cell>
          <cell r="X157">
            <v>490</v>
          </cell>
          <cell r="Y157">
            <v>0</v>
          </cell>
        </row>
        <row r="158">
          <cell r="B158" t="str">
            <v>Silo 9</v>
          </cell>
          <cell r="C158">
            <v>80790</v>
          </cell>
          <cell r="S158">
            <v>0</v>
          </cell>
          <cell r="V158">
            <v>20</v>
          </cell>
          <cell r="W158">
            <v>0</v>
          </cell>
          <cell r="Y158">
            <v>0</v>
          </cell>
        </row>
        <row r="159">
          <cell r="B159" t="str">
            <v>Silo 9</v>
          </cell>
          <cell r="C159">
            <v>80837</v>
          </cell>
          <cell r="D159">
            <v>2012</v>
          </cell>
          <cell r="E159">
            <v>28.4</v>
          </cell>
          <cell r="F159">
            <v>184</v>
          </cell>
          <cell r="G159">
            <v>296</v>
          </cell>
          <cell r="H159">
            <v>43</v>
          </cell>
          <cell r="I159">
            <v>131</v>
          </cell>
          <cell r="J159">
            <v>245</v>
          </cell>
          <cell r="K159">
            <v>411</v>
          </cell>
          <cell r="L159">
            <v>5.8</v>
          </cell>
          <cell r="M159">
            <v>32</v>
          </cell>
          <cell r="N159">
            <v>6.2</v>
          </cell>
          <cell r="O159">
            <v>1.7</v>
          </cell>
          <cell r="P159">
            <v>2.4</v>
          </cell>
          <cell r="R159">
            <v>147</v>
          </cell>
          <cell r="S159">
            <v>0</v>
          </cell>
          <cell r="T159">
            <v>6.61</v>
          </cell>
          <cell r="U159">
            <v>2.6</v>
          </cell>
          <cell r="V159">
            <v>44</v>
          </cell>
          <cell r="W159">
            <v>5.92</v>
          </cell>
          <cell r="X159">
            <v>231</v>
          </cell>
          <cell r="Y159">
            <v>0</v>
          </cell>
        </row>
        <row r="160">
          <cell r="B160" t="str">
            <v>Silo 9</v>
          </cell>
          <cell r="C160">
            <v>80837</v>
          </cell>
          <cell r="D160">
            <v>2012</v>
          </cell>
          <cell r="E160">
            <v>31.2</v>
          </cell>
          <cell r="F160">
            <v>188</v>
          </cell>
          <cell r="G160">
            <v>306</v>
          </cell>
          <cell r="H160">
            <v>45</v>
          </cell>
          <cell r="I160">
            <v>133</v>
          </cell>
          <cell r="J160">
            <v>252</v>
          </cell>
          <cell r="K160">
            <v>413</v>
          </cell>
          <cell r="L160">
            <v>5.2</v>
          </cell>
          <cell r="M160">
            <v>32</v>
          </cell>
          <cell r="N160">
            <v>6.5</v>
          </cell>
          <cell r="O160">
            <v>2.6</v>
          </cell>
          <cell r="P160">
            <v>2.2000000000000002</v>
          </cell>
          <cell r="R160">
            <v>150</v>
          </cell>
          <cell r="S160">
            <v>0</v>
          </cell>
          <cell r="T160">
            <v>6.82</v>
          </cell>
          <cell r="U160">
            <v>2.63</v>
          </cell>
          <cell r="V160">
            <v>44</v>
          </cell>
          <cell r="W160">
            <v>6.08</v>
          </cell>
          <cell r="X160">
            <v>221</v>
          </cell>
          <cell r="Y160">
            <v>0</v>
          </cell>
        </row>
        <row r="161">
          <cell r="B161" t="str">
            <v>Schlauch</v>
          </cell>
          <cell r="C161">
            <v>80838</v>
          </cell>
          <cell r="D161">
            <v>2012</v>
          </cell>
          <cell r="E161">
            <v>39.1</v>
          </cell>
          <cell r="F161">
            <v>77</v>
          </cell>
          <cell r="G161">
            <v>172</v>
          </cell>
          <cell r="H161">
            <v>49</v>
          </cell>
          <cell r="I161">
            <v>35</v>
          </cell>
          <cell r="J161">
            <v>171</v>
          </cell>
          <cell r="K161">
            <v>493</v>
          </cell>
          <cell r="L161">
            <v>2.8</v>
          </cell>
          <cell r="M161">
            <v>9</v>
          </cell>
          <cell r="N161">
            <v>2.2999999999999998</v>
          </cell>
          <cell r="O161">
            <v>0.2</v>
          </cell>
          <cell r="P161">
            <v>1.3</v>
          </cell>
          <cell r="R161">
            <v>139</v>
          </cell>
          <cell r="S161">
            <v>0</v>
          </cell>
          <cell r="T161">
            <v>7.14</v>
          </cell>
          <cell r="U161">
            <v>2.4</v>
          </cell>
          <cell r="V161">
            <v>2</v>
          </cell>
          <cell r="W161">
            <v>-9.92</v>
          </cell>
          <cell r="X161">
            <v>346</v>
          </cell>
          <cell r="Y161">
            <v>0</v>
          </cell>
        </row>
        <row r="162">
          <cell r="B162" t="str">
            <v>RES</v>
          </cell>
          <cell r="C162">
            <v>80839</v>
          </cell>
          <cell r="D162">
            <v>2012</v>
          </cell>
          <cell r="E162">
            <v>88</v>
          </cell>
          <cell r="F162">
            <v>389</v>
          </cell>
          <cell r="G162">
            <v>125</v>
          </cell>
          <cell r="H162">
            <v>13</v>
          </cell>
          <cell r="I162">
            <v>81</v>
          </cell>
          <cell r="J162">
            <v>194</v>
          </cell>
          <cell r="K162">
            <v>268</v>
          </cell>
          <cell r="L162">
            <v>16.7</v>
          </cell>
          <cell r="M162">
            <v>14</v>
          </cell>
          <cell r="N162">
            <v>8</v>
          </cell>
          <cell r="O162">
            <v>0.6</v>
          </cell>
          <cell r="P162">
            <v>5.3</v>
          </cell>
          <cell r="R162">
            <v>253</v>
          </cell>
          <cell r="S162">
            <v>0</v>
          </cell>
          <cell r="T162">
            <v>7.22</v>
          </cell>
          <cell r="U162">
            <v>0.36</v>
          </cell>
          <cell r="W162">
            <v>21.76</v>
          </cell>
          <cell r="X162">
            <v>249</v>
          </cell>
          <cell r="Y162">
            <v>0</v>
          </cell>
        </row>
        <row r="163">
          <cell r="B163" t="str">
            <v>SES</v>
          </cell>
          <cell r="C163">
            <v>80840</v>
          </cell>
          <cell r="D163">
            <v>2012</v>
          </cell>
          <cell r="E163">
            <v>88.2</v>
          </cell>
          <cell r="F163">
            <v>522</v>
          </cell>
          <cell r="G163">
            <v>72</v>
          </cell>
          <cell r="H163">
            <v>14</v>
          </cell>
          <cell r="I163">
            <v>71</v>
          </cell>
          <cell r="J163">
            <v>112</v>
          </cell>
          <cell r="K163">
            <v>225</v>
          </cell>
          <cell r="L163">
            <v>9</v>
          </cell>
          <cell r="M163">
            <v>22</v>
          </cell>
          <cell r="N163">
            <v>3.6</v>
          </cell>
          <cell r="O163">
            <v>0.2</v>
          </cell>
          <cell r="P163">
            <v>3.7</v>
          </cell>
          <cell r="R163">
            <v>297</v>
          </cell>
          <cell r="S163">
            <v>0</v>
          </cell>
          <cell r="T163">
            <v>8.6199999999999992</v>
          </cell>
          <cell r="W163">
            <v>36</v>
          </cell>
          <cell r="X163">
            <v>168</v>
          </cell>
          <cell r="Y163">
            <v>0</v>
          </cell>
        </row>
        <row r="164">
          <cell r="B164" t="str">
            <v>WG 46,5/46,5</v>
          </cell>
          <cell r="C164">
            <v>80841</v>
          </cell>
          <cell r="D164">
            <v>2012</v>
          </cell>
          <cell r="E164">
            <v>88.8</v>
          </cell>
          <cell r="F164">
            <v>123</v>
          </cell>
          <cell r="G164">
            <v>151</v>
          </cell>
          <cell r="H164">
            <v>21</v>
          </cell>
          <cell r="I164">
            <v>122</v>
          </cell>
          <cell r="J164">
            <v>32</v>
          </cell>
          <cell r="K164">
            <v>399</v>
          </cell>
          <cell r="L164">
            <v>10.4</v>
          </cell>
          <cell r="M164">
            <v>6</v>
          </cell>
          <cell r="N164">
            <v>15.8</v>
          </cell>
          <cell r="O164">
            <v>15.8</v>
          </cell>
          <cell r="P164">
            <v>4.8</v>
          </cell>
          <cell r="R164">
            <v>155</v>
          </cell>
          <cell r="S164">
            <v>0</v>
          </cell>
          <cell r="T164">
            <v>7.4</v>
          </cell>
          <cell r="U164">
            <v>0</v>
          </cell>
          <cell r="W164">
            <v>-5.12</v>
          </cell>
          <cell r="X164">
            <v>335</v>
          </cell>
          <cell r="Y164">
            <v>0</v>
          </cell>
        </row>
        <row r="165">
          <cell r="B165" t="str">
            <v>Melasseschnitzel</v>
          </cell>
          <cell r="C165">
            <v>80842</v>
          </cell>
          <cell r="D165">
            <v>2012</v>
          </cell>
          <cell r="E165">
            <v>92.3</v>
          </cell>
          <cell r="F165">
            <v>98</v>
          </cell>
          <cell r="G165">
            <v>159</v>
          </cell>
          <cell r="H165">
            <v>7</v>
          </cell>
          <cell r="I165">
            <v>85</v>
          </cell>
          <cell r="J165">
            <v>138</v>
          </cell>
          <cell r="K165">
            <v>316</v>
          </cell>
          <cell r="L165">
            <v>1</v>
          </cell>
          <cell r="M165">
            <v>17</v>
          </cell>
          <cell r="N165">
            <v>7.2</v>
          </cell>
          <cell r="O165">
            <v>1.1000000000000001</v>
          </cell>
          <cell r="P165">
            <v>1.6</v>
          </cell>
          <cell r="R165">
            <v>146</v>
          </cell>
          <cell r="S165">
            <v>0</v>
          </cell>
          <cell r="T165">
            <v>7.29</v>
          </cell>
          <cell r="W165">
            <v>-7.68</v>
          </cell>
          <cell r="X165">
            <v>494</v>
          </cell>
          <cell r="Y165">
            <v>0</v>
          </cell>
        </row>
        <row r="166">
          <cell r="B166" t="str">
            <v>Heu, 2. S.</v>
          </cell>
          <cell r="C166">
            <v>80843</v>
          </cell>
          <cell r="D166">
            <v>2012</v>
          </cell>
          <cell r="E166">
            <v>89.9</v>
          </cell>
          <cell r="F166">
            <v>136</v>
          </cell>
          <cell r="G166">
            <v>286</v>
          </cell>
          <cell r="H166">
            <v>30</v>
          </cell>
          <cell r="I166">
            <v>74</v>
          </cell>
          <cell r="J166">
            <v>300</v>
          </cell>
          <cell r="K166">
            <v>502</v>
          </cell>
          <cell r="L166">
            <v>4.5999999999999996</v>
          </cell>
          <cell r="M166">
            <v>16</v>
          </cell>
          <cell r="N166">
            <v>7.1</v>
          </cell>
          <cell r="O166">
            <v>2.8</v>
          </cell>
          <cell r="P166">
            <v>3</v>
          </cell>
          <cell r="R166">
            <v>137</v>
          </cell>
          <cell r="S166">
            <v>0</v>
          </cell>
          <cell r="T166">
            <v>5.89</v>
          </cell>
          <cell r="U166">
            <v>3.16</v>
          </cell>
          <cell r="W166">
            <v>-0.16</v>
          </cell>
          <cell r="X166">
            <v>258</v>
          </cell>
          <cell r="Y166">
            <v>0</v>
          </cell>
        </row>
        <row r="167">
          <cell r="B167" t="str">
            <v>Stroh, Gerste</v>
          </cell>
          <cell r="C167">
            <v>80844</v>
          </cell>
          <cell r="D167">
            <v>2012</v>
          </cell>
          <cell r="E167">
            <v>90.5</v>
          </cell>
          <cell r="F167">
            <v>31</v>
          </cell>
          <cell r="G167">
            <v>385</v>
          </cell>
          <cell r="H167">
            <v>18</v>
          </cell>
          <cell r="I167">
            <v>54</v>
          </cell>
          <cell r="J167">
            <v>503</v>
          </cell>
          <cell r="K167">
            <v>774</v>
          </cell>
          <cell r="L167">
            <v>0.7</v>
          </cell>
          <cell r="M167">
            <v>13.7</v>
          </cell>
          <cell r="N167">
            <v>3.6</v>
          </cell>
          <cell r="O167">
            <v>0.3</v>
          </cell>
          <cell r="P167">
            <v>0.6</v>
          </cell>
          <cell r="R167">
            <v>76</v>
          </cell>
          <cell r="S167">
            <v>0</v>
          </cell>
          <cell r="T167">
            <v>3.84</v>
          </cell>
          <cell r="U167">
            <v>4.3</v>
          </cell>
          <cell r="W167">
            <v>-7.2</v>
          </cell>
          <cell r="X167">
            <v>123</v>
          </cell>
          <cell r="Y167">
            <v>0</v>
          </cell>
        </row>
        <row r="168">
          <cell r="B168" t="str">
            <v>RES</v>
          </cell>
          <cell r="C168">
            <v>80849</v>
          </cell>
          <cell r="D168">
            <v>2012</v>
          </cell>
          <cell r="E168">
            <v>87.8</v>
          </cell>
          <cell r="F168">
            <v>391</v>
          </cell>
          <cell r="G168">
            <v>192</v>
          </cell>
          <cell r="H168">
            <v>12</v>
          </cell>
          <cell r="I168">
            <v>76</v>
          </cell>
          <cell r="J168">
            <v>278</v>
          </cell>
          <cell r="K168">
            <v>244</v>
          </cell>
          <cell r="L168">
            <v>15.7</v>
          </cell>
          <cell r="M168">
            <v>13.8</v>
          </cell>
          <cell r="N168">
            <v>8.4</v>
          </cell>
          <cell r="O168">
            <v>0.6</v>
          </cell>
          <cell r="P168">
            <v>4.8</v>
          </cell>
          <cell r="R168">
            <v>254</v>
          </cell>
          <cell r="S168">
            <v>0</v>
          </cell>
          <cell r="T168">
            <v>7.25</v>
          </cell>
          <cell r="U168" t="str">
            <v/>
          </cell>
          <cell r="W168">
            <v>21.92</v>
          </cell>
          <cell r="X168">
            <v>277</v>
          </cell>
          <cell r="Y168">
            <v>0</v>
          </cell>
        </row>
        <row r="169">
          <cell r="B169" t="str">
            <v>SES</v>
          </cell>
          <cell r="C169">
            <v>80850</v>
          </cell>
          <cell r="D169">
            <v>2012</v>
          </cell>
          <cell r="E169">
            <v>88.3</v>
          </cell>
          <cell r="F169">
            <v>523</v>
          </cell>
          <cell r="G169">
            <v>39</v>
          </cell>
          <cell r="H169">
            <v>12</v>
          </cell>
          <cell r="I169">
            <v>74</v>
          </cell>
          <cell r="J169">
            <v>157</v>
          </cell>
          <cell r="K169">
            <v>225</v>
          </cell>
          <cell r="L169">
            <v>8.6</v>
          </cell>
          <cell r="M169">
            <v>21.9</v>
          </cell>
          <cell r="N169">
            <v>3.6</v>
          </cell>
          <cell r="O169">
            <v>0.2</v>
          </cell>
          <cell r="P169">
            <v>3.9</v>
          </cell>
          <cell r="R169">
            <v>297</v>
          </cell>
          <cell r="S169">
            <v>0</v>
          </cell>
          <cell r="T169">
            <v>8.6199999999999992</v>
          </cell>
          <cell r="U169" t="str">
            <v/>
          </cell>
          <cell r="W169">
            <v>36.159999999999997</v>
          </cell>
          <cell r="X169">
            <v>166</v>
          </cell>
          <cell r="Y169">
            <v>0</v>
          </cell>
        </row>
        <row r="170">
          <cell r="B170" t="str">
            <v>WG 46,5/46,5</v>
          </cell>
          <cell r="C170">
            <v>80851</v>
          </cell>
          <cell r="D170">
            <v>2012</v>
          </cell>
          <cell r="E170">
            <v>89</v>
          </cell>
          <cell r="F170">
            <v>123</v>
          </cell>
          <cell r="G170">
            <v>86</v>
          </cell>
          <cell r="H170">
            <v>20</v>
          </cell>
          <cell r="I170">
            <v>135</v>
          </cell>
          <cell r="J170">
            <v>35</v>
          </cell>
          <cell r="K170">
            <v>132</v>
          </cell>
          <cell r="L170">
            <v>10.6</v>
          </cell>
          <cell r="M170">
            <v>6</v>
          </cell>
          <cell r="N170">
            <v>17.5</v>
          </cell>
          <cell r="O170">
            <v>20.6</v>
          </cell>
          <cell r="P170">
            <v>4.4000000000000004</v>
          </cell>
          <cell r="R170">
            <v>152</v>
          </cell>
          <cell r="S170">
            <v>0</v>
          </cell>
          <cell r="T170">
            <v>7.2</v>
          </cell>
          <cell r="U170" t="str">
            <v/>
          </cell>
          <cell r="W170">
            <v>-4.6399999999999997</v>
          </cell>
          <cell r="X170">
            <v>590</v>
          </cell>
          <cell r="Y170">
            <v>0</v>
          </cell>
        </row>
        <row r="171">
          <cell r="B171" t="str">
            <v>Melasseschnitzel</v>
          </cell>
          <cell r="C171">
            <v>80852</v>
          </cell>
          <cell r="D171">
            <v>2012</v>
          </cell>
          <cell r="E171">
            <v>91.1</v>
          </cell>
          <cell r="F171">
            <v>101</v>
          </cell>
          <cell r="G171">
            <v>113</v>
          </cell>
          <cell r="H171">
            <v>10</v>
          </cell>
          <cell r="I171">
            <v>84</v>
          </cell>
          <cell r="J171">
            <v>162</v>
          </cell>
          <cell r="K171">
            <v>294</v>
          </cell>
          <cell r="L171">
            <v>1.1000000000000001</v>
          </cell>
          <cell r="M171">
            <v>16.100000000000001</v>
          </cell>
          <cell r="N171">
            <v>7</v>
          </cell>
          <cell r="O171">
            <v>1.2</v>
          </cell>
          <cell r="P171">
            <v>1.6</v>
          </cell>
          <cell r="R171">
            <v>147</v>
          </cell>
          <cell r="S171">
            <v>0</v>
          </cell>
          <cell r="T171">
            <v>7.34</v>
          </cell>
          <cell r="U171" t="str">
            <v/>
          </cell>
          <cell r="W171">
            <v>-7.36</v>
          </cell>
          <cell r="X171">
            <v>511</v>
          </cell>
          <cell r="Y171">
            <v>0</v>
          </cell>
        </row>
        <row r="172">
          <cell r="B172" t="str">
            <v>Heu, 2. S.</v>
          </cell>
          <cell r="C172">
            <v>80853</v>
          </cell>
          <cell r="D172">
            <v>2012</v>
          </cell>
          <cell r="E172">
            <v>94.4</v>
          </cell>
          <cell r="F172">
            <v>133</v>
          </cell>
          <cell r="G172">
            <v>244</v>
          </cell>
          <cell r="H172">
            <v>31</v>
          </cell>
          <cell r="I172">
            <v>74</v>
          </cell>
          <cell r="J172">
            <v>336</v>
          </cell>
          <cell r="K172">
            <v>531</v>
          </cell>
          <cell r="L172">
            <v>3</v>
          </cell>
          <cell r="M172">
            <v>14.4</v>
          </cell>
          <cell r="N172">
            <v>6.6</v>
          </cell>
          <cell r="O172">
            <v>2.7</v>
          </cell>
          <cell r="P172">
            <v>1.9</v>
          </cell>
          <cell r="R172">
            <v>133</v>
          </cell>
          <cell r="S172">
            <v>0</v>
          </cell>
          <cell r="T172">
            <v>5.65</v>
          </cell>
          <cell r="U172">
            <v>3.3359999999999999</v>
          </cell>
          <cell r="W172">
            <v>0</v>
          </cell>
          <cell r="X172">
            <v>231</v>
          </cell>
          <cell r="Y172">
            <v>0</v>
          </cell>
        </row>
        <row r="173">
          <cell r="B173" t="str">
            <v>Stroh, Gerste</v>
          </cell>
          <cell r="C173">
            <v>80854</v>
          </cell>
          <cell r="D173">
            <v>2012</v>
          </cell>
          <cell r="E173">
            <v>91.3</v>
          </cell>
          <cell r="F173">
            <v>33</v>
          </cell>
          <cell r="G173">
            <v>426</v>
          </cell>
          <cell r="H173">
            <v>16</v>
          </cell>
          <cell r="I173">
            <v>39</v>
          </cell>
          <cell r="J173">
            <v>554</v>
          </cell>
          <cell r="K173">
            <v>799</v>
          </cell>
          <cell r="L173">
            <v>0.8</v>
          </cell>
          <cell r="M173">
            <v>9.1</v>
          </cell>
          <cell r="N173">
            <v>4.3</v>
          </cell>
          <cell r="O173">
            <v>0.4</v>
          </cell>
          <cell r="P173">
            <v>0.7</v>
          </cell>
          <cell r="R173">
            <v>77</v>
          </cell>
          <cell r="S173">
            <v>0</v>
          </cell>
          <cell r="T173">
            <v>3.87</v>
          </cell>
          <cell r="U173">
            <v>4.3</v>
          </cell>
          <cell r="W173">
            <v>-7.04</v>
          </cell>
          <cell r="X173">
            <v>113</v>
          </cell>
          <cell r="Y173">
            <v>0</v>
          </cell>
        </row>
        <row r="174">
          <cell r="B174" t="str">
            <v>Silo 9</v>
          </cell>
          <cell r="C174">
            <v>80855</v>
          </cell>
          <cell r="D174">
            <v>2012</v>
          </cell>
          <cell r="E174">
            <v>30.6</v>
          </cell>
          <cell r="F174">
            <v>177</v>
          </cell>
          <cell r="G174">
            <v>289</v>
          </cell>
          <cell r="H174">
            <v>40</v>
          </cell>
          <cell r="I174">
            <v>115</v>
          </cell>
          <cell r="J174">
            <v>279</v>
          </cell>
          <cell r="K174">
            <v>404</v>
          </cell>
          <cell r="L174">
            <v>5</v>
          </cell>
          <cell r="M174">
            <v>28.7</v>
          </cell>
          <cell r="N174">
            <v>5.5</v>
          </cell>
          <cell r="O174">
            <v>1.7</v>
          </cell>
          <cell r="P174">
            <v>2.1</v>
          </cell>
          <cell r="R174">
            <v>145</v>
          </cell>
          <cell r="S174">
            <v>0</v>
          </cell>
          <cell r="T174">
            <v>6.52</v>
          </cell>
          <cell r="U174">
            <v>2.5739999999999998</v>
          </cell>
          <cell r="V174">
            <v>39</v>
          </cell>
          <cell r="W174">
            <v>5.12</v>
          </cell>
          <cell r="X174">
            <v>264</v>
          </cell>
          <cell r="Y174">
            <v>0</v>
          </cell>
        </row>
        <row r="175">
          <cell r="B175" t="str">
            <v xml:space="preserve"> Treber</v>
          </cell>
          <cell r="C175">
            <v>80856</v>
          </cell>
          <cell r="D175">
            <v>2012</v>
          </cell>
          <cell r="E175">
            <v>23.3</v>
          </cell>
          <cell r="F175">
            <v>246</v>
          </cell>
          <cell r="G175">
            <v>174</v>
          </cell>
          <cell r="H175">
            <v>91</v>
          </cell>
          <cell r="I175">
            <v>46</v>
          </cell>
          <cell r="J175">
            <v>280</v>
          </cell>
          <cell r="K175">
            <v>643</v>
          </cell>
          <cell r="L175">
            <v>8.1</v>
          </cell>
          <cell r="M175">
            <v>1.8</v>
          </cell>
          <cell r="N175">
            <v>5.5</v>
          </cell>
          <cell r="O175">
            <v>0.2</v>
          </cell>
          <cell r="P175">
            <v>2.5</v>
          </cell>
          <cell r="R175">
            <v>206</v>
          </cell>
          <cell r="S175">
            <v>0</v>
          </cell>
          <cell r="T175">
            <v>6.78</v>
          </cell>
          <cell r="U175" t="str">
            <v/>
          </cell>
          <cell r="W175">
            <v>6.4</v>
          </cell>
          <cell r="X175">
            <v>-26</v>
          </cell>
          <cell r="Y175">
            <v>0</v>
          </cell>
        </row>
        <row r="176">
          <cell r="B176" t="str">
            <v>Silo 9</v>
          </cell>
          <cell r="C176">
            <v>80861</v>
          </cell>
          <cell r="D176">
            <v>2012</v>
          </cell>
          <cell r="E176">
            <v>31.7</v>
          </cell>
          <cell r="F176">
            <v>176</v>
          </cell>
          <cell r="G176">
            <v>279</v>
          </cell>
          <cell r="H176">
            <v>39</v>
          </cell>
          <cell r="I176">
            <v>118</v>
          </cell>
          <cell r="J176">
            <v>246</v>
          </cell>
          <cell r="K176">
            <v>398</v>
          </cell>
          <cell r="L176">
            <v>5.0999999999999996</v>
          </cell>
          <cell r="M176">
            <v>30.3</v>
          </cell>
          <cell r="N176">
            <v>5.4</v>
          </cell>
          <cell r="O176">
            <v>1.2</v>
          </cell>
          <cell r="P176">
            <v>2.2000000000000002</v>
          </cell>
          <cell r="R176">
            <v>146</v>
          </cell>
          <cell r="S176">
            <v>0</v>
          </cell>
          <cell r="T176">
            <v>6.64</v>
          </cell>
          <cell r="U176">
            <v>2.5379999999999998</v>
          </cell>
          <cell r="V176">
            <v>37</v>
          </cell>
          <cell r="W176">
            <v>4.8</v>
          </cell>
          <cell r="X176">
            <v>269</v>
          </cell>
          <cell r="Y176">
            <v>0</v>
          </cell>
        </row>
        <row r="177">
          <cell r="B177" t="str">
            <v>RES</v>
          </cell>
          <cell r="C177">
            <v>80862</v>
          </cell>
          <cell r="D177">
            <v>2012</v>
          </cell>
          <cell r="E177">
            <v>88.1</v>
          </cell>
          <cell r="F177">
            <v>384</v>
          </cell>
          <cell r="G177">
            <v>117</v>
          </cell>
          <cell r="H177">
            <v>15</v>
          </cell>
          <cell r="I177">
            <v>73</v>
          </cell>
          <cell r="J177">
            <v>204</v>
          </cell>
          <cell r="K177">
            <v>277</v>
          </cell>
          <cell r="L177">
            <v>15.8</v>
          </cell>
          <cell r="M177">
            <v>13.3</v>
          </cell>
          <cell r="N177">
            <v>8.4</v>
          </cell>
          <cell r="O177">
            <v>0.6</v>
          </cell>
          <cell r="P177">
            <v>4.7</v>
          </cell>
          <cell r="R177">
            <v>252</v>
          </cell>
          <cell r="S177">
            <v>0</v>
          </cell>
          <cell r="T177">
            <v>7.29</v>
          </cell>
          <cell r="U177" t="str">
            <v/>
          </cell>
          <cell r="W177">
            <v>21.12</v>
          </cell>
          <cell r="X177">
            <v>251</v>
          </cell>
          <cell r="Y177">
            <v>0</v>
          </cell>
        </row>
        <row r="178">
          <cell r="B178" t="str">
            <v>Silo 3 M</v>
          </cell>
          <cell r="C178">
            <v>80863</v>
          </cell>
          <cell r="D178">
            <v>2012</v>
          </cell>
          <cell r="E178">
            <v>38.299999999999997</v>
          </cell>
          <cell r="F178">
            <v>79</v>
          </cell>
          <cell r="G178">
            <v>182</v>
          </cell>
          <cell r="H178">
            <v>42</v>
          </cell>
          <cell r="I178">
            <v>41</v>
          </cell>
          <cell r="J178">
            <v>184</v>
          </cell>
          <cell r="K178">
            <v>353</v>
          </cell>
          <cell r="L178">
            <v>3</v>
          </cell>
          <cell r="M178">
            <v>10</v>
          </cell>
          <cell r="N178">
            <v>2.5</v>
          </cell>
          <cell r="O178">
            <v>0.2</v>
          </cell>
          <cell r="P178">
            <v>1.3</v>
          </cell>
          <cell r="R178">
            <v>139</v>
          </cell>
          <cell r="S178">
            <v>0</v>
          </cell>
          <cell r="T178">
            <v>7.07</v>
          </cell>
          <cell r="U178">
            <v>1.548</v>
          </cell>
          <cell r="V178">
            <v>1</v>
          </cell>
          <cell r="W178">
            <v>-9.6</v>
          </cell>
          <cell r="X178">
            <v>485</v>
          </cell>
          <cell r="Y178">
            <v>0</v>
          </cell>
        </row>
        <row r="179">
          <cell r="B179" t="str">
            <v>Silo 5</v>
          </cell>
          <cell r="C179">
            <v>80864</v>
          </cell>
          <cell r="D179">
            <v>2012</v>
          </cell>
          <cell r="E179">
            <v>38.799999999999997</v>
          </cell>
          <cell r="F179">
            <v>81</v>
          </cell>
          <cell r="G179">
            <v>181</v>
          </cell>
          <cell r="H179">
            <v>41</v>
          </cell>
          <cell r="I179">
            <v>34</v>
          </cell>
          <cell r="J179">
            <v>181</v>
          </cell>
          <cell r="K179">
            <v>335</v>
          </cell>
          <cell r="L179">
            <v>3.2</v>
          </cell>
          <cell r="M179">
            <v>9.6</v>
          </cell>
          <cell r="N179">
            <v>2.1</v>
          </cell>
          <cell r="O179">
            <v>0.2</v>
          </cell>
          <cell r="P179">
            <v>1.3</v>
          </cell>
          <cell r="R179">
            <v>141</v>
          </cell>
          <cell r="S179">
            <v>0</v>
          </cell>
          <cell r="T179">
            <v>7.19</v>
          </cell>
          <cell r="U179">
            <v>1.4400000000000004</v>
          </cell>
          <cell r="V179">
            <v>2</v>
          </cell>
          <cell r="W179">
            <v>-9.6</v>
          </cell>
          <cell r="X179">
            <v>509</v>
          </cell>
          <cell r="Y179">
            <v>0</v>
          </cell>
        </row>
        <row r="180">
          <cell r="B180" t="str">
            <v>Silo 8</v>
          </cell>
          <cell r="C180">
            <v>80865</v>
          </cell>
          <cell r="D180">
            <v>2012</v>
          </cell>
          <cell r="E180">
            <v>37.1</v>
          </cell>
          <cell r="F180">
            <v>83</v>
          </cell>
          <cell r="G180">
            <v>195</v>
          </cell>
          <cell r="H180">
            <v>43</v>
          </cell>
          <cell r="I180">
            <v>41</v>
          </cell>
          <cell r="J180">
            <v>200</v>
          </cell>
          <cell r="K180">
            <v>386</v>
          </cell>
          <cell r="L180">
            <v>3</v>
          </cell>
          <cell r="M180">
            <v>10.6</v>
          </cell>
          <cell r="N180">
            <v>2.6</v>
          </cell>
          <cell r="O180">
            <v>0.2</v>
          </cell>
          <cell r="P180">
            <v>1.3</v>
          </cell>
          <cell r="R180">
            <v>138</v>
          </cell>
          <cell r="S180">
            <v>0</v>
          </cell>
          <cell r="T180">
            <v>6.94</v>
          </cell>
          <cell r="U180">
            <v>1.746</v>
          </cell>
          <cell r="V180">
            <v>5</v>
          </cell>
          <cell r="W180">
            <v>-8.8000000000000007</v>
          </cell>
          <cell r="X180">
            <v>447</v>
          </cell>
          <cell r="Y180">
            <v>0</v>
          </cell>
        </row>
        <row r="181">
          <cell r="B181" t="str">
            <v>RES</v>
          </cell>
          <cell r="C181">
            <v>80866</v>
          </cell>
          <cell r="D181">
            <v>2012</v>
          </cell>
          <cell r="E181">
            <v>88</v>
          </cell>
          <cell r="F181">
            <v>392</v>
          </cell>
          <cell r="G181">
            <v>126</v>
          </cell>
          <cell r="H181">
            <v>12</v>
          </cell>
          <cell r="I181">
            <v>80</v>
          </cell>
          <cell r="J181">
            <v>196</v>
          </cell>
          <cell r="K181">
            <v>268</v>
          </cell>
          <cell r="L181">
            <v>15.3</v>
          </cell>
          <cell r="M181">
            <v>14.2</v>
          </cell>
          <cell r="N181">
            <v>7.6</v>
          </cell>
          <cell r="O181">
            <v>0.6</v>
          </cell>
          <cell r="P181">
            <v>4.7</v>
          </cell>
          <cell r="R181">
            <v>254</v>
          </cell>
          <cell r="S181">
            <v>0</v>
          </cell>
          <cell r="T181">
            <v>7.22</v>
          </cell>
          <cell r="U181" t="str">
            <v/>
          </cell>
          <cell r="W181">
            <v>22.08</v>
          </cell>
          <cell r="X181">
            <v>248</v>
          </cell>
          <cell r="Y181">
            <v>0</v>
          </cell>
        </row>
        <row r="182">
          <cell r="B182" t="str">
            <v>SES</v>
          </cell>
          <cell r="C182">
            <v>80867</v>
          </cell>
          <cell r="D182">
            <v>2012</v>
          </cell>
          <cell r="E182">
            <v>88.4</v>
          </cell>
          <cell r="F182">
            <v>513</v>
          </cell>
          <cell r="G182">
            <v>58</v>
          </cell>
          <cell r="H182">
            <v>12</v>
          </cell>
          <cell r="I182">
            <v>67</v>
          </cell>
          <cell r="J182">
            <v>110</v>
          </cell>
          <cell r="K182">
            <v>210</v>
          </cell>
          <cell r="L182">
            <v>8.6</v>
          </cell>
          <cell r="M182">
            <v>21.5</v>
          </cell>
          <cell r="N182">
            <v>3.3</v>
          </cell>
          <cell r="O182">
            <v>0.2</v>
          </cell>
          <cell r="P182">
            <v>3.5</v>
          </cell>
          <cell r="R182">
            <v>295</v>
          </cell>
          <cell r="S182">
            <v>0</v>
          </cell>
          <cell r="T182">
            <v>8.64</v>
          </cell>
          <cell r="U182" t="str">
            <v/>
          </cell>
          <cell r="W182">
            <v>34.880000000000003</v>
          </cell>
          <cell r="X182">
            <v>198</v>
          </cell>
          <cell r="Y182">
            <v>0</v>
          </cell>
        </row>
        <row r="183">
          <cell r="B183" t="str">
            <v>WG 46,5/46,5</v>
          </cell>
          <cell r="C183">
            <v>80868</v>
          </cell>
          <cell r="D183">
            <v>2012</v>
          </cell>
          <cell r="E183">
            <v>89.7</v>
          </cell>
          <cell r="F183">
            <v>208</v>
          </cell>
          <cell r="G183">
            <v>56</v>
          </cell>
          <cell r="H183">
            <v>17</v>
          </cell>
          <cell r="I183">
            <v>145</v>
          </cell>
          <cell r="J183">
            <v>25</v>
          </cell>
          <cell r="K183">
            <v>123</v>
          </cell>
          <cell r="L183">
            <v>10.5</v>
          </cell>
          <cell r="M183">
            <v>9.8000000000000007</v>
          </cell>
          <cell r="N183">
            <v>19.8</v>
          </cell>
          <cell r="O183">
            <v>11.6</v>
          </cell>
          <cell r="P183">
            <v>4.9000000000000004</v>
          </cell>
          <cell r="R183">
            <v>172</v>
          </cell>
          <cell r="S183">
            <v>0</v>
          </cell>
          <cell r="T183">
            <v>6.93</v>
          </cell>
          <cell r="U183" t="str">
            <v/>
          </cell>
          <cell r="W183">
            <v>5.76</v>
          </cell>
          <cell r="X183">
            <v>507</v>
          </cell>
          <cell r="Y183">
            <v>0</v>
          </cell>
        </row>
        <row r="184">
          <cell r="B184" t="str">
            <v>Melasseschnitzel</v>
          </cell>
          <cell r="C184">
            <v>80869</v>
          </cell>
          <cell r="D184">
            <v>2012</v>
          </cell>
          <cell r="E184">
            <v>90.7</v>
          </cell>
          <cell r="F184">
            <v>123</v>
          </cell>
          <cell r="G184">
            <v>133</v>
          </cell>
          <cell r="H184">
            <v>9</v>
          </cell>
          <cell r="I184">
            <v>85</v>
          </cell>
          <cell r="J184">
            <v>154</v>
          </cell>
          <cell r="K184">
            <v>289</v>
          </cell>
          <cell r="L184">
            <v>2.2000000000000002</v>
          </cell>
          <cell r="M184">
            <v>15.8</v>
          </cell>
          <cell r="N184">
            <v>6.9</v>
          </cell>
          <cell r="O184">
            <v>1.3</v>
          </cell>
          <cell r="P184">
            <v>1.8</v>
          </cell>
          <cell r="R184">
            <v>154</v>
          </cell>
          <cell r="S184">
            <v>0</v>
          </cell>
          <cell r="T184">
            <v>7.34</v>
          </cell>
          <cell r="U184" t="str">
            <v/>
          </cell>
          <cell r="W184">
            <v>-4.96</v>
          </cell>
          <cell r="X184">
            <v>494</v>
          </cell>
          <cell r="Y184">
            <v>0</v>
          </cell>
        </row>
        <row r="185">
          <cell r="B185" t="str">
            <v>Stroh, Gerste</v>
          </cell>
          <cell r="C185">
            <v>80870</v>
          </cell>
          <cell r="D185">
            <v>2012</v>
          </cell>
          <cell r="E185">
            <v>90.3</v>
          </cell>
          <cell r="F185">
            <v>44</v>
          </cell>
          <cell r="G185">
            <v>425</v>
          </cell>
          <cell r="H185">
            <v>18</v>
          </cell>
          <cell r="I185">
            <v>65</v>
          </cell>
          <cell r="J185">
            <v>476</v>
          </cell>
          <cell r="K185">
            <v>766</v>
          </cell>
          <cell r="L185">
            <v>1</v>
          </cell>
          <cell r="M185">
            <v>13.7</v>
          </cell>
          <cell r="N185">
            <v>4</v>
          </cell>
          <cell r="O185">
            <v>0.4</v>
          </cell>
          <cell r="P185">
            <v>0.7</v>
          </cell>
          <cell r="R185">
            <v>81</v>
          </cell>
          <cell r="S185">
            <v>0</v>
          </cell>
          <cell r="T185">
            <v>3.79</v>
          </cell>
          <cell r="U185">
            <v>4.3</v>
          </cell>
          <cell r="V185">
            <v>7</v>
          </cell>
          <cell r="W185">
            <v>-5.92</v>
          </cell>
          <cell r="X185">
            <v>107</v>
          </cell>
          <cell r="Y185">
            <v>0</v>
          </cell>
        </row>
        <row r="186">
          <cell r="B186" t="str">
            <v>Heu, 2. S.</v>
          </cell>
          <cell r="C186">
            <v>80871</v>
          </cell>
          <cell r="D186">
            <v>2012</v>
          </cell>
          <cell r="E186">
            <v>88.2</v>
          </cell>
          <cell r="F186">
            <v>122</v>
          </cell>
          <cell r="G186">
            <v>288</v>
          </cell>
          <cell r="H186">
            <v>19</v>
          </cell>
          <cell r="I186">
            <v>74</v>
          </cell>
          <cell r="J186">
            <v>283</v>
          </cell>
          <cell r="K186">
            <v>559</v>
          </cell>
          <cell r="L186">
            <v>3.7</v>
          </cell>
          <cell r="M186">
            <v>16</v>
          </cell>
          <cell r="N186">
            <v>5.2</v>
          </cell>
          <cell r="O186">
            <v>2.2000000000000002</v>
          </cell>
          <cell r="P186">
            <v>2.2000000000000002</v>
          </cell>
          <cell r="R186">
            <v>130</v>
          </cell>
          <cell r="S186">
            <v>0</v>
          </cell>
          <cell r="T186">
            <v>5.68</v>
          </cell>
          <cell r="U186">
            <v>3.504</v>
          </cell>
          <cell r="V186">
            <v>60</v>
          </cell>
          <cell r="W186">
            <v>-1.28</v>
          </cell>
          <cell r="X186">
            <v>226</v>
          </cell>
          <cell r="Y186">
            <v>0</v>
          </cell>
        </row>
        <row r="187">
          <cell r="B187" t="str">
            <v>Silo 9</v>
          </cell>
          <cell r="C187">
            <v>80874</v>
          </cell>
          <cell r="D187">
            <v>2012</v>
          </cell>
          <cell r="E187">
            <v>33.700000000000003</v>
          </cell>
          <cell r="F187">
            <v>181</v>
          </cell>
          <cell r="G187">
            <v>287</v>
          </cell>
          <cell r="H187">
            <v>43</v>
          </cell>
          <cell r="I187">
            <v>124</v>
          </cell>
          <cell r="J187">
            <v>254</v>
          </cell>
          <cell r="K187">
            <v>438</v>
          </cell>
          <cell r="L187">
            <v>5.3</v>
          </cell>
          <cell r="M187">
            <v>35.299999999999997</v>
          </cell>
          <cell r="N187">
            <v>6.7</v>
          </cell>
          <cell r="O187">
            <v>2.4</v>
          </cell>
          <cell r="P187">
            <v>2.4</v>
          </cell>
          <cell r="R187">
            <v>146</v>
          </cell>
          <cell r="S187">
            <v>0</v>
          </cell>
          <cell r="T187">
            <v>6.57</v>
          </cell>
          <cell r="U187">
            <v>2.778</v>
          </cell>
          <cell r="V187">
            <v>27</v>
          </cell>
          <cell r="W187">
            <v>5.6</v>
          </cell>
          <cell r="X187">
            <v>214</v>
          </cell>
          <cell r="Y187">
            <v>0</v>
          </cell>
        </row>
        <row r="188">
          <cell r="B188" t="str">
            <v>RES</v>
          </cell>
          <cell r="C188">
            <v>80877</v>
          </cell>
          <cell r="D188">
            <v>2012</v>
          </cell>
          <cell r="E188">
            <v>88.1</v>
          </cell>
          <cell r="F188">
            <v>382</v>
          </cell>
          <cell r="G188">
            <v>114</v>
          </cell>
          <cell r="H188">
            <v>13</v>
          </cell>
          <cell r="I188">
            <v>73</v>
          </cell>
          <cell r="J188">
            <v>198</v>
          </cell>
          <cell r="K188">
            <v>281</v>
          </cell>
          <cell r="L188">
            <v>16</v>
          </cell>
          <cell r="M188">
            <v>14.6</v>
          </cell>
          <cell r="N188">
            <v>8.6</v>
          </cell>
          <cell r="O188">
            <v>0.7</v>
          </cell>
          <cell r="P188">
            <v>5.0999999999999996</v>
          </cell>
          <cell r="R188">
            <v>251</v>
          </cell>
          <cell r="S188">
            <v>0</v>
          </cell>
          <cell r="T188">
            <v>7.27</v>
          </cell>
          <cell r="U188" t="str">
            <v/>
          </cell>
          <cell r="W188">
            <v>20.96</v>
          </cell>
          <cell r="X188">
            <v>251</v>
          </cell>
          <cell r="Y188">
            <v>0</v>
          </cell>
        </row>
        <row r="189">
          <cell r="B189" t="str">
            <v>SES</v>
          </cell>
          <cell r="C189">
            <v>80878</v>
          </cell>
          <cell r="D189">
            <v>2012</v>
          </cell>
          <cell r="E189">
            <v>88.7</v>
          </cell>
          <cell r="F189">
            <v>471</v>
          </cell>
          <cell r="G189">
            <v>48</v>
          </cell>
          <cell r="H189">
            <v>11</v>
          </cell>
          <cell r="I189">
            <v>67</v>
          </cell>
          <cell r="J189">
            <v>80</v>
          </cell>
          <cell r="K189">
            <v>208</v>
          </cell>
          <cell r="L189">
            <v>8.3000000000000007</v>
          </cell>
          <cell r="M189">
            <v>21.9</v>
          </cell>
          <cell r="N189">
            <v>3.7</v>
          </cell>
          <cell r="O189">
            <v>0.9</v>
          </cell>
          <cell r="P189">
            <v>3.6</v>
          </cell>
          <cell r="R189">
            <v>281</v>
          </cell>
          <cell r="S189">
            <v>0</v>
          </cell>
          <cell r="T189">
            <v>8.6</v>
          </cell>
          <cell r="U189" t="str">
            <v/>
          </cell>
          <cell r="W189">
            <v>30.4</v>
          </cell>
          <cell r="X189">
            <v>243</v>
          </cell>
          <cell r="Y189">
            <v>0</v>
          </cell>
        </row>
        <row r="190">
          <cell r="B190" t="str">
            <v>WG 46,5/46,5</v>
          </cell>
          <cell r="C190">
            <v>80879</v>
          </cell>
          <cell r="D190">
            <v>2012</v>
          </cell>
          <cell r="E190">
            <v>91.1</v>
          </cell>
          <cell r="F190">
            <v>90</v>
          </cell>
          <cell r="G190">
            <v>76</v>
          </cell>
          <cell r="H190">
            <v>18</v>
          </cell>
          <cell r="I190">
            <v>199</v>
          </cell>
          <cell r="J190">
            <v>18</v>
          </cell>
          <cell r="K190">
            <v>117</v>
          </cell>
          <cell r="L190">
            <v>14.8</v>
          </cell>
          <cell r="M190">
            <v>7</v>
          </cell>
          <cell r="N190">
            <v>35.1</v>
          </cell>
          <cell r="O190">
            <v>16.5</v>
          </cell>
          <cell r="P190">
            <v>6.4</v>
          </cell>
          <cell r="R190">
            <v>129</v>
          </cell>
          <cell r="S190">
            <v>0</v>
          </cell>
          <cell r="T190">
            <v>5.7</v>
          </cell>
          <cell r="U190" t="str">
            <v/>
          </cell>
          <cell r="W190">
            <v>-6.24</v>
          </cell>
          <cell r="X190">
            <v>576</v>
          </cell>
          <cell r="Y190">
            <v>0</v>
          </cell>
        </row>
        <row r="191">
          <cell r="B191" t="str">
            <v>Melasseschnitzel</v>
          </cell>
          <cell r="C191">
            <v>80880</v>
          </cell>
          <cell r="D191">
            <v>2012</v>
          </cell>
          <cell r="E191">
            <v>91.2</v>
          </cell>
          <cell r="F191">
            <v>121</v>
          </cell>
          <cell r="G191">
            <v>147</v>
          </cell>
          <cell r="H191">
            <v>8</v>
          </cell>
          <cell r="I191">
            <v>81</v>
          </cell>
          <cell r="J191">
            <v>141</v>
          </cell>
          <cell r="K191">
            <v>300</v>
          </cell>
          <cell r="L191">
            <v>2.2999999999999998</v>
          </cell>
          <cell r="M191">
            <v>17</v>
          </cell>
          <cell r="N191">
            <v>7.1</v>
          </cell>
          <cell r="O191">
            <v>1.1000000000000001</v>
          </cell>
          <cell r="P191">
            <v>1.9</v>
          </cell>
          <cell r="R191">
            <v>154</v>
          </cell>
          <cell r="S191">
            <v>0</v>
          </cell>
          <cell r="T191">
            <v>7.36</v>
          </cell>
          <cell r="U191" t="str">
            <v/>
          </cell>
          <cell r="W191">
            <v>-5.28</v>
          </cell>
          <cell r="X191">
            <v>490</v>
          </cell>
          <cell r="Y191">
            <v>0</v>
          </cell>
        </row>
        <row r="192">
          <cell r="B192" t="str">
            <v>Heu, 2. S.</v>
          </cell>
          <cell r="C192">
            <v>80881</v>
          </cell>
          <cell r="D192">
            <v>2012</v>
          </cell>
          <cell r="E192">
            <v>90.8</v>
          </cell>
          <cell r="F192">
            <v>134</v>
          </cell>
          <cell r="G192">
            <v>308</v>
          </cell>
          <cell r="H192">
            <v>28</v>
          </cell>
          <cell r="I192">
            <v>76</v>
          </cell>
          <cell r="J192">
            <v>284</v>
          </cell>
          <cell r="K192">
            <v>522</v>
          </cell>
          <cell r="L192">
            <v>4.5</v>
          </cell>
          <cell r="M192">
            <v>16.2</v>
          </cell>
          <cell r="N192">
            <v>6.2</v>
          </cell>
          <cell r="O192">
            <v>3.7</v>
          </cell>
          <cell r="P192">
            <v>2.5</v>
          </cell>
          <cell r="R192">
            <v>136</v>
          </cell>
          <cell r="S192">
            <v>0</v>
          </cell>
          <cell r="T192">
            <v>5.9</v>
          </cell>
          <cell r="U192">
            <v>3.282</v>
          </cell>
          <cell r="W192">
            <v>-0.32</v>
          </cell>
          <cell r="X192">
            <v>240</v>
          </cell>
          <cell r="Y192">
            <v>0</v>
          </cell>
        </row>
        <row r="193">
          <cell r="B193" t="str">
            <v>Stroh, Gerste</v>
          </cell>
          <cell r="C193">
            <v>80882</v>
          </cell>
          <cell r="D193">
            <v>2012</v>
          </cell>
          <cell r="E193">
            <v>91.1</v>
          </cell>
          <cell r="F193">
            <v>44</v>
          </cell>
          <cell r="G193">
            <v>430</v>
          </cell>
          <cell r="H193">
            <v>21</v>
          </cell>
          <cell r="I193">
            <v>58</v>
          </cell>
          <cell r="J193">
            <v>444</v>
          </cell>
          <cell r="K193">
            <v>740</v>
          </cell>
          <cell r="L193">
            <v>1.2</v>
          </cell>
          <cell r="M193">
            <v>18.100000000000001</v>
          </cell>
          <cell r="N193">
            <v>4.5</v>
          </cell>
          <cell r="O193">
            <v>0.5</v>
          </cell>
          <cell r="P193">
            <v>0.8</v>
          </cell>
          <cell r="R193">
            <v>82</v>
          </cell>
          <cell r="S193">
            <v>0</v>
          </cell>
          <cell r="T193">
            <v>3.82</v>
          </cell>
          <cell r="U193">
            <v>4.3</v>
          </cell>
          <cell r="W193">
            <v>-6.08</v>
          </cell>
          <cell r="X193">
            <v>137</v>
          </cell>
          <cell r="Y193">
            <v>0</v>
          </cell>
        </row>
        <row r="194">
          <cell r="B194" t="str">
            <v>RES</v>
          </cell>
          <cell r="C194">
            <v>80886</v>
          </cell>
          <cell r="D194">
            <v>2012</v>
          </cell>
          <cell r="E194">
            <v>88</v>
          </cell>
          <cell r="F194">
            <v>380</v>
          </cell>
          <cell r="G194">
            <v>129</v>
          </cell>
          <cell r="H194">
            <v>14</v>
          </cell>
          <cell r="I194">
            <v>79</v>
          </cell>
          <cell r="J194">
            <v>207</v>
          </cell>
          <cell r="K194">
            <v>254</v>
          </cell>
          <cell r="L194">
            <v>16</v>
          </cell>
          <cell r="M194">
            <v>12.4</v>
          </cell>
          <cell r="N194">
            <v>8.4</v>
          </cell>
          <cell r="O194">
            <v>0.6</v>
          </cell>
          <cell r="P194">
            <v>4.9000000000000004</v>
          </cell>
          <cell r="R194">
            <v>250</v>
          </cell>
          <cell r="S194">
            <v>0</v>
          </cell>
          <cell r="T194">
            <v>7.23</v>
          </cell>
          <cell r="U194" t="str">
            <v/>
          </cell>
          <cell r="W194">
            <v>20.8</v>
          </cell>
          <cell r="X194">
            <v>273</v>
          </cell>
          <cell r="Y194">
            <v>0</v>
          </cell>
        </row>
        <row r="195">
          <cell r="B195" t="str">
            <v>SES</v>
          </cell>
          <cell r="C195">
            <v>80887</v>
          </cell>
          <cell r="D195">
            <v>2012</v>
          </cell>
          <cell r="E195">
            <v>88.3</v>
          </cell>
          <cell r="F195">
            <v>515</v>
          </cell>
          <cell r="G195">
            <v>29</v>
          </cell>
          <cell r="H195">
            <v>12</v>
          </cell>
          <cell r="I195">
            <v>65</v>
          </cell>
          <cell r="J195">
            <v>91</v>
          </cell>
          <cell r="K195">
            <v>204</v>
          </cell>
          <cell r="L195">
            <v>8.6</v>
          </cell>
          <cell r="M195">
            <v>21</v>
          </cell>
          <cell r="N195">
            <v>3.9</v>
          </cell>
          <cell r="O195">
            <v>0.3</v>
          </cell>
          <cell r="P195">
            <v>5</v>
          </cell>
          <cell r="R195">
            <v>296</v>
          </cell>
          <cell r="S195">
            <v>0</v>
          </cell>
          <cell r="T195">
            <v>8.6999999999999993</v>
          </cell>
          <cell r="U195" t="str">
            <v/>
          </cell>
          <cell r="W195">
            <v>35.04</v>
          </cell>
          <cell r="X195">
            <v>204</v>
          </cell>
          <cell r="Y195">
            <v>0</v>
          </cell>
        </row>
        <row r="196">
          <cell r="B196" t="str">
            <v>WG 46,5/46,5</v>
          </cell>
          <cell r="C196">
            <v>80888</v>
          </cell>
          <cell r="D196">
            <v>2012</v>
          </cell>
          <cell r="E196">
            <v>90.8</v>
          </cell>
          <cell r="F196">
            <v>103</v>
          </cell>
          <cell r="G196">
            <v>59</v>
          </cell>
          <cell r="H196">
            <v>18</v>
          </cell>
          <cell r="I196">
            <v>179</v>
          </cell>
          <cell r="J196">
            <v>11</v>
          </cell>
          <cell r="K196">
            <v>140</v>
          </cell>
          <cell r="L196">
            <v>13.9</v>
          </cell>
          <cell r="M196">
            <v>5.6</v>
          </cell>
          <cell r="N196">
            <v>28.6</v>
          </cell>
          <cell r="O196">
            <v>20.7</v>
          </cell>
          <cell r="P196">
            <v>5.4</v>
          </cell>
          <cell r="R196">
            <v>137</v>
          </cell>
          <cell r="S196">
            <v>0</v>
          </cell>
          <cell r="T196">
            <v>6.1</v>
          </cell>
          <cell r="U196" t="str">
            <v/>
          </cell>
          <cell r="W196">
            <v>-5.44</v>
          </cell>
          <cell r="X196">
            <v>560</v>
          </cell>
          <cell r="Y196">
            <v>0</v>
          </cell>
        </row>
        <row r="197">
          <cell r="B197" t="str">
            <v>Melasseschnitzel</v>
          </cell>
          <cell r="C197">
            <v>80889</v>
          </cell>
          <cell r="D197">
            <v>2012</v>
          </cell>
          <cell r="E197">
            <v>91.6</v>
          </cell>
          <cell r="F197">
            <v>104</v>
          </cell>
          <cell r="G197">
            <v>142</v>
          </cell>
          <cell r="H197">
            <v>6</v>
          </cell>
          <cell r="I197">
            <v>84</v>
          </cell>
          <cell r="J197">
            <v>140</v>
          </cell>
          <cell r="K197">
            <v>286</v>
          </cell>
          <cell r="L197">
            <v>1.1000000000000001</v>
          </cell>
          <cell r="M197">
            <v>15.8</v>
          </cell>
          <cell r="N197">
            <v>7.2</v>
          </cell>
          <cell r="O197">
            <v>1.2</v>
          </cell>
          <cell r="P197">
            <v>1.7</v>
          </cell>
          <cell r="R197">
            <v>148</v>
          </cell>
          <cell r="S197">
            <v>0</v>
          </cell>
          <cell r="T197">
            <v>7.32</v>
          </cell>
          <cell r="U197" t="str">
            <v/>
          </cell>
          <cell r="W197">
            <v>-7.04</v>
          </cell>
          <cell r="X197">
            <v>520</v>
          </cell>
          <cell r="Y197">
            <v>0</v>
          </cell>
        </row>
        <row r="198">
          <cell r="B198" t="str">
            <v>Heu, 2. S.</v>
          </cell>
          <cell r="C198">
            <v>80890</v>
          </cell>
          <cell r="D198">
            <v>2012</v>
          </cell>
          <cell r="E198">
            <v>91.5</v>
          </cell>
          <cell r="F198">
            <v>113</v>
          </cell>
          <cell r="G198">
            <v>262</v>
          </cell>
          <cell r="H198">
            <v>22</v>
          </cell>
          <cell r="I198">
            <v>77</v>
          </cell>
          <cell r="J198">
            <v>289</v>
          </cell>
          <cell r="K198">
            <v>517</v>
          </cell>
          <cell r="L198">
            <v>4.4000000000000004</v>
          </cell>
          <cell r="M198">
            <v>17.899999999999999</v>
          </cell>
          <cell r="N198">
            <v>5</v>
          </cell>
          <cell r="O198">
            <v>2</v>
          </cell>
          <cell r="P198">
            <v>2.2999999999999998</v>
          </cell>
          <cell r="R198">
            <v>129</v>
          </cell>
          <cell r="S198">
            <v>0</v>
          </cell>
          <cell r="T198">
            <v>5.78</v>
          </cell>
          <cell r="U198">
            <v>3.2519999999999998</v>
          </cell>
          <cell r="W198">
            <v>-2.56</v>
          </cell>
          <cell r="X198">
            <v>271</v>
          </cell>
          <cell r="Y198">
            <v>0</v>
          </cell>
        </row>
        <row r="199">
          <cell r="B199" t="str">
            <v>Stroh, Gerste</v>
          </cell>
          <cell r="C199">
            <v>80891</v>
          </cell>
          <cell r="D199">
            <v>2012</v>
          </cell>
          <cell r="E199">
            <v>90.8</v>
          </cell>
          <cell r="F199">
            <v>34</v>
          </cell>
          <cell r="G199">
            <v>454</v>
          </cell>
          <cell r="H199">
            <v>11</v>
          </cell>
          <cell r="I199">
            <v>45</v>
          </cell>
          <cell r="J199">
            <v>541</v>
          </cell>
          <cell r="K199">
            <v>803</v>
          </cell>
          <cell r="L199">
            <v>1.4</v>
          </cell>
          <cell r="M199">
            <v>13</v>
          </cell>
          <cell r="N199">
            <v>3.5</v>
          </cell>
          <cell r="O199">
            <v>0.7</v>
          </cell>
          <cell r="P199">
            <v>0.6</v>
          </cell>
          <cell r="R199">
            <v>77</v>
          </cell>
          <cell r="S199">
            <v>0</v>
          </cell>
          <cell r="T199">
            <v>3.81</v>
          </cell>
          <cell r="W199">
            <v>-6.88</v>
          </cell>
          <cell r="X199">
            <v>107</v>
          </cell>
          <cell r="Y199">
            <v>0</v>
          </cell>
        </row>
        <row r="200">
          <cell r="B200" t="str">
            <v>Silo 9</v>
          </cell>
          <cell r="C200">
            <v>80892</v>
          </cell>
          <cell r="D200">
            <v>2012</v>
          </cell>
          <cell r="E200">
            <v>31.2</v>
          </cell>
          <cell r="F200">
            <v>181</v>
          </cell>
          <cell r="G200">
            <v>320</v>
          </cell>
          <cell r="H200">
            <v>45</v>
          </cell>
          <cell r="I200">
            <v>125</v>
          </cell>
          <cell r="J200">
            <v>291</v>
          </cell>
          <cell r="K200">
            <v>464</v>
          </cell>
          <cell r="L200">
            <v>4.7</v>
          </cell>
          <cell r="M200">
            <v>31</v>
          </cell>
          <cell r="N200">
            <v>8</v>
          </cell>
          <cell r="O200">
            <v>2</v>
          </cell>
          <cell r="P200">
            <v>2.2999999999999998</v>
          </cell>
          <cell r="R200">
            <v>143</v>
          </cell>
          <cell r="S200">
            <v>0</v>
          </cell>
          <cell r="T200">
            <v>6.38</v>
          </cell>
          <cell r="U200">
            <v>2.9340000000000002</v>
          </cell>
          <cell r="V200">
            <v>35</v>
          </cell>
          <cell r="W200">
            <v>6.08</v>
          </cell>
          <cell r="X200">
            <v>185</v>
          </cell>
          <cell r="Y200">
            <v>0</v>
          </cell>
        </row>
        <row r="201">
          <cell r="B201" t="str">
            <v xml:space="preserve"> Treber</v>
          </cell>
          <cell r="C201">
            <v>80897</v>
          </cell>
          <cell r="D201">
            <v>2013</v>
          </cell>
          <cell r="E201">
            <v>23.3</v>
          </cell>
          <cell r="F201">
            <v>211</v>
          </cell>
          <cell r="G201">
            <v>188</v>
          </cell>
          <cell r="H201">
            <v>82</v>
          </cell>
          <cell r="I201">
            <v>49</v>
          </cell>
          <cell r="J201">
            <v>290</v>
          </cell>
          <cell r="K201">
            <v>614</v>
          </cell>
          <cell r="L201">
            <v>7.9</v>
          </cell>
          <cell r="M201">
            <v>1.8</v>
          </cell>
          <cell r="N201">
            <v>3.6</v>
          </cell>
          <cell r="O201">
            <v>0.1</v>
          </cell>
          <cell r="P201">
            <v>1.9</v>
          </cell>
          <cell r="R201">
            <v>189</v>
          </cell>
          <cell r="S201">
            <v>0</v>
          </cell>
          <cell r="T201">
            <v>6.61</v>
          </cell>
          <cell r="U201">
            <v>1</v>
          </cell>
          <cell r="W201">
            <v>3.52</v>
          </cell>
          <cell r="X201">
            <v>44</v>
          </cell>
          <cell r="Y201">
            <v>0</v>
          </cell>
        </row>
        <row r="202">
          <cell r="B202" t="str">
            <v>RES</v>
          </cell>
          <cell r="C202">
            <v>80898</v>
          </cell>
          <cell r="D202">
            <v>2012</v>
          </cell>
          <cell r="E202">
            <v>87.7</v>
          </cell>
          <cell r="F202">
            <v>388</v>
          </cell>
          <cell r="G202">
            <v>127</v>
          </cell>
          <cell r="H202">
            <v>15</v>
          </cell>
          <cell r="I202">
            <v>79</v>
          </cell>
          <cell r="J202">
            <v>196</v>
          </cell>
          <cell r="K202">
            <v>290</v>
          </cell>
          <cell r="L202">
            <v>16.399999999999999</v>
          </cell>
          <cell r="M202">
            <v>12.3</v>
          </cell>
          <cell r="N202">
            <v>6.4</v>
          </cell>
          <cell r="O202">
            <v>0.6</v>
          </cell>
          <cell r="P202">
            <v>4.4000000000000004</v>
          </cell>
          <cell r="R202">
            <v>253</v>
          </cell>
          <cell r="S202">
            <v>0</v>
          </cell>
          <cell r="T202">
            <v>7.25</v>
          </cell>
          <cell r="W202">
            <v>21.6</v>
          </cell>
          <cell r="X202">
            <v>228</v>
          </cell>
          <cell r="Y202">
            <v>0</v>
          </cell>
        </row>
        <row r="203">
          <cell r="B203" t="str">
            <v>SES</v>
          </cell>
          <cell r="C203">
            <v>80899</v>
          </cell>
          <cell r="D203">
            <v>2012</v>
          </cell>
          <cell r="E203">
            <v>88.3</v>
          </cell>
          <cell r="F203">
            <v>516</v>
          </cell>
          <cell r="G203">
            <v>65</v>
          </cell>
          <cell r="H203">
            <v>12</v>
          </cell>
          <cell r="I203">
            <v>69</v>
          </cell>
          <cell r="J203">
            <v>98</v>
          </cell>
          <cell r="K203">
            <v>241</v>
          </cell>
          <cell r="L203">
            <v>8.6</v>
          </cell>
          <cell r="M203">
            <v>20</v>
          </cell>
          <cell r="N203">
            <v>2.8</v>
          </cell>
          <cell r="O203">
            <v>0.2</v>
          </cell>
          <cell r="P203">
            <v>3.5</v>
          </cell>
          <cell r="R203">
            <v>295</v>
          </cell>
          <cell r="S203">
            <v>0</v>
          </cell>
          <cell r="T203">
            <v>8.6199999999999992</v>
          </cell>
          <cell r="W203">
            <v>35.36</v>
          </cell>
          <cell r="X203">
            <v>162</v>
          </cell>
          <cell r="Y203">
            <v>0</v>
          </cell>
        </row>
        <row r="204">
          <cell r="B204" t="str">
            <v>WG 46,5/46,5</v>
          </cell>
          <cell r="C204">
            <v>80900</v>
          </cell>
          <cell r="D204">
            <v>2012</v>
          </cell>
          <cell r="E204">
            <v>91</v>
          </cell>
          <cell r="F204">
            <v>112</v>
          </cell>
          <cell r="G204">
            <v>99</v>
          </cell>
          <cell r="H204">
            <v>19</v>
          </cell>
          <cell r="I204">
            <v>209</v>
          </cell>
          <cell r="J204">
            <v>12</v>
          </cell>
          <cell r="K204">
            <v>155</v>
          </cell>
          <cell r="L204">
            <v>14</v>
          </cell>
          <cell r="M204">
            <v>6</v>
          </cell>
          <cell r="N204">
            <v>39</v>
          </cell>
          <cell r="O204">
            <v>19</v>
          </cell>
          <cell r="P204">
            <v>5.2</v>
          </cell>
          <cell r="R204">
            <v>135</v>
          </cell>
          <cell r="S204">
            <v>0</v>
          </cell>
          <cell r="T204">
            <v>5.74</v>
          </cell>
          <cell r="W204">
            <v>-3.68</v>
          </cell>
          <cell r="X204">
            <v>505</v>
          </cell>
          <cell r="Y204">
            <v>0</v>
          </cell>
        </row>
        <row r="205">
          <cell r="B205" t="str">
            <v>Melasseschnitzel</v>
          </cell>
          <cell r="C205">
            <v>80901</v>
          </cell>
          <cell r="D205">
            <v>2012</v>
          </cell>
          <cell r="E205">
            <v>91.6</v>
          </cell>
          <cell r="F205">
            <v>104</v>
          </cell>
          <cell r="G205">
            <v>154</v>
          </cell>
          <cell r="H205">
            <v>5</v>
          </cell>
          <cell r="I205">
            <v>85</v>
          </cell>
          <cell r="J205">
            <v>147</v>
          </cell>
          <cell r="K205">
            <v>308</v>
          </cell>
          <cell r="L205">
            <v>1.3</v>
          </cell>
          <cell r="M205">
            <v>15.1</v>
          </cell>
          <cell r="N205">
            <v>5.6</v>
          </cell>
          <cell r="O205">
            <v>1.1000000000000001</v>
          </cell>
          <cell r="P205">
            <v>1.5</v>
          </cell>
          <cell r="R205">
            <v>148</v>
          </cell>
          <cell r="S205">
            <v>0</v>
          </cell>
          <cell r="T205">
            <v>7.31</v>
          </cell>
          <cell r="W205">
            <v>-7.04</v>
          </cell>
          <cell r="X205">
            <v>498</v>
          </cell>
          <cell r="Y205">
            <v>0</v>
          </cell>
        </row>
        <row r="206">
          <cell r="B206" t="str">
            <v>Heu, 2. S.</v>
          </cell>
          <cell r="C206">
            <v>80902</v>
          </cell>
          <cell r="D206">
            <v>2012</v>
          </cell>
          <cell r="E206">
            <v>90.4</v>
          </cell>
          <cell r="F206">
            <v>125</v>
          </cell>
          <cell r="G206">
            <v>267</v>
          </cell>
          <cell r="H206">
            <v>25</v>
          </cell>
          <cell r="I206">
            <v>77</v>
          </cell>
          <cell r="J206">
            <v>277</v>
          </cell>
          <cell r="K206">
            <v>487</v>
          </cell>
          <cell r="L206">
            <v>4.9000000000000004</v>
          </cell>
          <cell r="M206">
            <v>16.3</v>
          </cell>
          <cell r="N206">
            <v>4.8</v>
          </cell>
          <cell r="O206">
            <v>2.1</v>
          </cell>
          <cell r="P206">
            <v>2.1</v>
          </cell>
          <cell r="R206">
            <v>135</v>
          </cell>
          <cell r="S206">
            <v>0</v>
          </cell>
          <cell r="T206">
            <v>5.97</v>
          </cell>
          <cell r="U206">
            <v>3.07</v>
          </cell>
          <cell r="W206">
            <v>-1.6</v>
          </cell>
          <cell r="X206">
            <v>286</v>
          </cell>
          <cell r="Y206">
            <v>0</v>
          </cell>
        </row>
        <row r="207">
          <cell r="B207" t="str">
            <v>Stroh, Gerste</v>
          </cell>
          <cell r="C207">
            <v>80903</v>
          </cell>
          <cell r="D207">
            <v>2012</v>
          </cell>
          <cell r="E207">
            <v>90.9</v>
          </cell>
          <cell r="F207">
            <v>32</v>
          </cell>
          <cell r="G207">
            <v>467</v>
          </cell>
          <cell r="H207">
            <v>17</v>
          </cell>
          <cell r="I207">
            <v>47</v>
          </cell>
          <cell r="J207">
            <v>527</v>
          </cell>
          <cell r="K207">
            <v>830</v>
          </cell>
          <cell r="L207">
            <v>1</v>
          </cell>
          <cell r="M207">
            <v>11.8</v>
          </cell>
          <cell r="N207">
            <v>2.6</v>
          </cell>
          <cell r="O207">
            <v>0.2</v>
          </cell>
          <cell r="P207">
            <v>5.6</v>
          </cell>
          <cell r="R207">
            <v>76</v>
          </cell>
          <cell r="S207">
            <v>0</v>
          </cell>
          <cell r="T207">
            <v>3.82</v>
          </cell>
          <cell r="W207">
            <v>-7.04</v>
          </cell>
          <cell r="X207">
            <v>74</v>
          </cell>
          <cell r="Y207">
            <v>0</v>
          </cell>
        </row>
        <row r="208">
          <cell r="B208" t="str">
            <v>Silo 9</v>
          </cell>
          <cell r="C208">
            <v>80904</v>
          </cell>
          <cell r="D208">
            <v>2012</v>
          </cell>
          <cell r="E208">
            <v>30.1</v>
          </cell>
          <cell r="F208">
            <v>177</v>
          </cell>
          <cell r="G208">
            <v>311</v>
          </cell>
          <cell r="H208">
            <v>41</v>
          </cell>
          <cell r="I208">
            <v>122</v>
          </cell>
          <cell r="J208">
            <v>276</v>
          </cell>
          <cell r="K208">
            <v>462</v>
          </cell>
          <cell r="L208">
            <v>5.0999999999999996</v>
          </cell>
          <cell r="M208">
            <v>29.2</v>
          </cell>
          <cell r="N208">
            <v>4.0999999999999996</v>
          </cell>
          <cell r="O208">
            <v>1.9</v>
          </cell>
          <cell r="P208">
            <v>1.9</v>
          </cell>
          <cell r="R208">
            <v>143</v>
          </cell>
          <cell r="S208">
            <v>0</v>
          </cell>
          <cell r="T208">
            <v>6.42</v>
          </cell>
          <cell r="U208">
            <v>2.92</v>
          </cell>
          <cell r="V208">
            <v>17</v>
          </cell>
          <cell r="W208">
            <v>5.44</v>
          </cell>
          <cell r="X208">
            <v>198</v>
          </cell>
          <cell r="Y208">
            <v>0</v>
          </cell>
        </row>
        <row r="209">
          <cell r="B209" t="str">
            <v xml:space="preserve"> Treber</v>
          </cell>
          <cell r="C209">
            <v>80907</v>
          </cell>
          <cell r="D209">
            <v>2012</v>
          </cell>
          <cell r="E209">
            <v>22.5</v>
          </cell>
          <cell r="F209">
            <v>248</v>
          </cell>
          <cell r="G209">
            <v>191</v>
          </cell>
          <cell r="H209">
            <v>98</v>
          </cell>
          <cell r="I209">
            <v>47</v>
          </cell>
          <cell r="J209">
            <v>251</v>
          </cell>
          <cell r="K209">
            <v>667</v>
          </cell>
          <cell r="L209">
            <v>8.3000000000000007</v>
          </cell>
          <cell r="M209">
            <v>2</v>
          </cell>
          <cell r="N209">
            <v>4.5999999999999996</v>
          </cell>
          <cell r="O209">
            <v>0.2</v>
          </cell>
          <cell r="P209">
            <v>2</v>
          </cell>
          <cell r="R209">
            <v>208</v>
          </cell>
          <cell r="S209">
            <v>0</v>
          </cell>
          <cell r="T209">
            <v>6.82</v>
          </cell>
          <cell r="W209">
            <v>6.4</v>
          </cell>
          <cell r="X209">
            <v>-60</v>
          </cell>
          <cell r="Y209">
            <v>0</v>
          </cell>
        </row>
        <row r="210">
          <cell r="B210" t="str">
            <v>WG 46,5/46,5</v>
          </cell>
          <cell r="C210">
            <v>80908</v>
          </cell>
          <cell r="D210">
            <v>2013</v>
          </cell>
          <cell r="E210">
            <v>87.7</v>
          </cell>
          <cell r="F210">
            <v>106</v>
          </cell>
          <cell r="G210">
            <v>153</v>
          </cell>
          <cell r="H210">
            <v>19</v>
          </cell>
          <cell r="I210">
            <v>177</v>
          </cell>
          <cell r="J210">
            <v>25</v>
          </cell>
          <cell r="K210">
            <v>160</v>
          </cell>
          <cell r="L210">
            <v>12.4</v>
          </cell>
          <cell r="M210">
            <v>6.7</v>
          </cell>
          <cell r="N210">
            <v>27.4</v>
          </cell>
          <cell r="O210">
            <v>18.2</v>
          </cell>
          <cell r="P210">
            <v>5.6</v>
          </cell>
          <cell r="R210">
            <v>138</v>
          </cell>
          <cell r="S210">
            <v>0</v>
          </cell>
          <cell r="T210">
            <v>6.22</v>
          </cell>
          <cell r="W210">
            <v>-5.12</v>
          </cell>
          <cell r="X210">
            <v>538</v>
          </cell>
          <cell r="Y210">
            <v>0</v>
          </cell>
        </row>
        <row r="211">
          <cell r="B211" t="str">
            <v>Melasseschnitzel</v>
          </cell>
          <cell r="C211">
            <v>80909</v>
          </cell>
          <cell r="D211">
            <v>2012</v>
          </cell>
          <cell r="E211">
            <v>91.8</v>
          </cell>
          <cell r="F211">
            <v>103</v>
          </cell>
          <cell r="G211">
            <v>151</v>
          </cell>
          <cell r="H211">
            <v>6</v>
          </cell>
          <cell r="I211">
            <v>80</v>
          </cell>
          <cell r="J211">
            <v>144</v>
          </cell>
          <cell r="K211">
            <v>312</v>
          </cell>
          <cell r="L211">
            <v>1.2</v>
          </cell>
          <cell r="M211">
            <v>16</v>
          </cell>
          <cell r="N211">
            <v>6.6</v>
          </cell>
          <cell r="O211">
            <v>1.1000000000000001</v>
          </cell>
          <cell r="P211">
            <v>1.6</v>
          </cell>
          <cell r="R211">
            <v>148</v>
          </cell>
          <cell r="S211">
            <v>0</v>
          </cell>
          <cell r="T211">
            <v>7.34</v>
          </cell>
          <cell r="W211">
            <v>-7.2</v>
          </cell>
          <cell r="X211">
            <v>499</v>
          </cell>
          <cell r="Y211">
            <v>0</v>
          </cell>
        </row>
        <row r="212">
          <cell r="B212" t="str">
            <v>Heu, 2. S.</v>
          </cell>
          <cell r="C212">
            <v>80910</v>
          </cell>
          <cell r="D212">
            <v>2012</v>
          </cell>
          <cell r="E212">
            <v>89.2</v>
          </cell>
          <cell r="F212">
            <v>126</v>
          </cell>
          <cell r="G212">
            <v>274</v>
          </cell>
          <cell r="H212">
            <v>26</v>
          </cell>
          <cell r="I212">
            <v>78</v>
          </cell>
          <cell r="J212">
            <v>271</v>
          </cell>
          <cell r="K212">
            <v>514</v>
          </cell>
          <cell r="L212">
            <v>3.9</v>
          </cell>
          <cell r="M212">
            <v>14</v>
          </cell>
          <cell r="N212">
            <v>5.8</v>
          </cell>
          <cell r="O212">
            <v>3.3</v>
          </cell>
          <cell r="P212">
            <v>2.6</v>
          </cell>
          <cell r="R212">
            <v>136</v>
          </cell>
          <cell r="S212">
            <v>0</v>
          </cell>
          <cell r="T212">
            <v>6.01</v>
          </cell>
          <cell r="U212">
            <v>3.24</v>
          </cell>
          <cell r="W212">
            <v>-1.6</v>
          </cell>
          <cell r="X212">
            <v>256</v>
          </cell>
          <cell r="Y212">
            <v>0</v>
          </cell>
        </row>
        <row r="213">
          <cell r="B213" t="str">
            <v>Stroh, Gerste</v>
          </cell>
          <cell r="C213">
            <v>80911</v>
          </cell>
          <cell r="D213">
            <v>2012</v>
          </cell>
          <cell r="E213">
            <v>90.9</v>
          </cell>
          <cell r="F213">
            <v>38</v>
          </cell>
          <cell r="G213">
            <v>459</v>
          </cell>
          <cell r="H213">
            <v>21</v>
          </cell>
          <cell r="I213">
            <v>42</v>
          </cell>
          <cell r="J213">
            <v>514</v>
          </cell>
          <cell r="K213">
            <v>806</v>
          </cell>
          <cell r="L213">
            <v>1.4</v>
          </cell>
          <cell r="M213">
            <v>11.2</v>
          </cell>
          <cell r="N213">
            <v>3.5</v>
          </cell>
          <cell r="O213">
            <v>0.3</v>
          </cell>
          <cell r="P213">
            <v>0.6</v>
          </cell>
          <cell r="R213">
            <v>80</v>
          </cell>
          <cell r="S213">
            <v>0</v>
          </cell>
          <cell r="T213">
            <v>3.87</v>
          </cell>
          <cell r="W213">
            <v>-6.72</v>
          </cell>
          <cell r="X213">
            <v>93</v>
          </cell>
          <cell r="Y213">
            <v>0</v>
          </cell>
        </row>
        <row r="214">
          <cell r="B214" t="str">
            <v>Silo 9</v>
          </cell>
          <cell r="C214">
            <v>80912</v>
          </cell>
          <cell r="D214">
            <v>2012</v>
          </cell>
          <cell r="E214">
            <v>30.9</v>
          </cell>
          <cell r="F214">
            <v>187</v>
          </cell>
          <cell r="G214">
            <v>312</v>
          </cell>
          <cell r="H214">
            <v>47</v>
          </cell>
          <cell r="I214">
            <v>115</v>
          </cell>
          <cell r="J214">
            <v>260</v>
          </cell>
          <cell r="K214">
            <v>453</v>
          </cell>
          <cell r="L214">
            <v>5.3</v>
          </cell>
          <cell r="M214">
            <v>32.1</v>
          </cell>
          <cell r="N214">
            <v>5.4</v>
          </cell>
          <cell r="O214">
            <v>2.2999999999999998</v>
          </cell>
          <cell r="P214">
            <v>2.2000000000000002</v>
          </cell>
          <cell r="R214">
            <v>149</v>
          </cell>
          <cell r="S214">
            <v>0</v>
          </cell>
          <cell r="T214">
            <v>6.74</v>
          </cell>
          <cell r="U214">
            <v>2.87</v>
          </cell>
          <cell r="V214">
            <v>12</v>
          </cell>
          <cell r="W214">
            <v>6.08</v>
          </cell>
          <cell r="X214">
            <v>198</v>
          </cell>
          <cell r="Y214">
            <v>0</v>
          </cell>
        </row>
        <row r="215">
          <cell r="B215" t="str">
            <v>RES</v>
          </cell>
          <cell r="C215">
            <v>80915</v>
          </cell>
          <cell r="D215">
            <v>2012</v>
          </cell>
          <cell r="E215">
            <v>87.4</v>
          </cell>
          <cell r="F215">
            <v>401</v>
          </cell>
          <cell r="G215">
            <v>119</v>
          </cell>
          <cell r="H215">
            <v>20</v>
          </cell>
          <cell r="I215">
            <v>80</v>
          </cell>
          <cell r="J215">
            <v>199</v>
          </cell>
          <cell r="K215">
            <v>318</v>
          </cell>
          <cell r="L215">
            <v>16</v>
          </cell>
          <cell r="M215">
            <v>13.5</v>
          </cell>
          <cell r="N215">
            <v>7.3</v>
          </cell>
          <cell r="O215">
            <v>0.2</v>
          </cell>
          <cell r="P215">
            <v>5</v>
          </cell>
          <cell r="R215">
            <v>259</v>
          </cell>
          <cell r="S215">
            <v>0</v>
          </cell>
          <cell r="T215">
            <v>7.3</v>
          </cell>
          <cell r="W215">
            <v>22.72</v>
          </cell>
          <cell r="X215">
            <v>181</v>
          </cell>
          <cell r="Y215">
            <v>0</v>
          </cell>
        </row>
        <row r="216">
          <cell r="B216" t="str">
            <v>SES</v>
          </cell>
          <cell r="C216">
            <v>80916</v>
          </cell>
          <cell r="D216">
            <v>2012</v>
          </cell>
          <cell r="E216">
            <v>88</v>
          </cell>
          <cell r="F216">
            <v>523</v>
          </cell>
          <cell r="G216">
            <v>48</v>
          </cell>
          <cell r="H216">
            <v>12</v>
          </cell>
          <cell r="I216">
            <v>71</v>
          </cell>
          <cell r="J216">
            <v>107</v>
          </cell>
          <cell r="K216">
            <v>242</v>
          </cell>
          <cell r="L216">
            <v>8.8000000000000007</v>
          </cell>
          <cell r="M216">
            <v>22.4</v>
          </cell>
          <cell r="N216">
            <v>3.2</v>
          </cell>
          <cell r="O216">
            <v>0.1</v>
          </cell>
          <cell r="P216">
            <v>3.9</v>
          </cell>
          <cell r="R216">
            <v>297</v>
          </cell>
          <cell r="S216">
            <v>0</v>
          </cell>
          <cell r="T216">
            <v>8.6300000000000008</v>
          </cell>
          <cell r="W216">
            <v>36.159999999999997</v>
          </cell>
          <cell r="X216">
            <v>152</v>
          </cell>
          <cell r="Y216">
            <v>0</v>
          </cell>
        </row>
        <row r="217">
          <cell r="B217" t="str">
            <v>Silo 9</v>
          </cell>
          <cell r="C217">
            <v>80917</v>
          </cell>
          <cell r="D217">
            <v>2012</v>
          </cell>
          <cell r="E217">
            <v>44.2</v>
          </cell>
          <cell r="F217">
            <v>165</v>
          </cell>
          <cell r="G217">
            <v>279</v>
          </cell>
          <cell r="H217">
            <v>38</v>
          </cell>
          <cell r="I217">
            <v>168</v>
          </cell>
          <cell r="J217">
            <v>234</v>
          </cell>
          <cell r="K217">
            <v>415</v>
          </cell>
          <cell r="L217">
            <v>5.7</v>
          </cell>
          <cell r="M217">
            <v>27</v>
          </cell>
          <cell r="N217">
            <v>6.3</v>
          </cell>
          <cell r="O217">
            <v>1.2</v>
          </cell>
          <cell r="P217">
            <v>2.4</v>
          </cell>
          <cell r="R217">
            <v>139</v>
          </cell>
          <cell r="S217">
            <v>0</v>
          </cell>
          <cell r="T217">
            <v>6.32</v>
          </cell>
          <cell r="V217">
            <v>35</v>
          </cell>
          <cell r="W217">
            <v>4.16</v>
          </cell>
          <cell r="X217">
            <v>214</v>
          </cell>
          <cell r="Y217">
            <v>0</v>
          </cell>
        </row>
        <row r="218">
          <cell r="B218" t="str">
            <v>Silo 6</v>
          </cell>
          <cell r="C218">
            <v>80918</v>
          </cell>
          <cell r="D218">
            <v>2011</v>
          </cell>
          <cell r="S218">
            <v>0</v>
          </cell>
          <cell r="V218">
            <v>4</v>
          </cell>
          <cell r="W218">
            <v>0</v>
          </cell>
          <cell r="Y218">
            <v>0</v>
          </cell>
        </row>
        <row r="219">
          <cell r="B219" t="str">
            <v>Silo 6</v>
          </cell>
          <cell r="C219">
            <v>80918</v>
          </cell>
          <cell r="D219">
            <v>2011</v>
          </cell>
          <cell r="E219">
            <v>34</v>
          </cell>
          <cell r="F219">
            <v>74</v>
          </cell>
          <cell r="G219">
            <v>156</v>
          </cell>
          <cell r="H219">
            <v>37</v>
          </cell>
          <cell r="I219">
            <v>38</v>
          </cell>
          <cell r="J219">
            <v>173</v>
          </cell>
          <cell r="K219">
            <v>450</v>
          </cell>
          <cell r="L219">
            <v>2.7</v>
          </cell>
          <cell r="M219">
            <v>9.3000000000000007</v>
          </cell>
          <cell r="N219">
            <v>2.7</v>
          </cell>
          <cell r="O219">
            <v>0.1</v>
          </cell>
          <cell r="P219">
            <v>1</v>
          </cell>
          <cell r="R219">
            <v>136</v>
          </cell>
          <cell r="S219">
            <v>0</v>
          </cell>
          <cell r="T219">
            <v>6.94</v>
          </cell>
          <cell r="U219">
            <v>2.13</v>
          </cell>
          <cell r="W219">
            <v>-9.92</v>
          </cell>
          <cell r="X219">
            <v>401</v>
          </cell>
          <cell r="Y219">
            <v>0</v>
          </cell>
        </row>
        <row r="220">
          <cell r="B220" t="str">
            <v>Pressschnitzel</v>
          </cell>
          <cell r="C220">
            <v>80919</v>
          </cell>
          <cell r="D220">
            <v>2012</v>
          </cell>
          <cell r="F220">
            <v>88</v>
          </cell>
          <cell r="G220">
            <v>201</v>
          </cell>
          <cell r="H220">
            <v>5</v>
          </cell>
          <cell r="I220">
            <v>104</v>
          </cell>
          <cell r="J220">
            <v>195</v>
          </cell>
          <cell r="K220">
            <v>531</v>
          </cell>
          <cell r="L220">
            <v>1.5</v>
          </cell>
          <cell r="M220">
            <v>4.3</v>
          </cell>
          <cell r="N220">
            <v>10.7</v>
          </cell>
          <cell r="O220">
            <v>0.5</v>
          </cell>
          <cell r="P220">
            <v>2.4</v>
          </cell>
          <cell r="R220">
            <v>140</v>
          </cell>
          <cell r="S220">
            <v>0</v>
          </cell>
          <cell r="T220">
            <v>7.1</v>
          </cell>
          <cell r="V220">
            <v>36</v>
          </cell>
          <cell r="W220">
            <v>-8.32</v>
          </cell>
          <cell r="X220">
            <v>272</v>
          </cell>
          <cell r="Y220">
            <v>0</v>
          </cell>
        </row>
        <row r="221">
          <cell r="B221" t="str">
            <v xml:space="preserve"> Treber</v>
          </cell>
          <cell r="C221">
            <v>80920</v>
          </cell>
          <cell r="D221">
            <v>2013</v>
          </cell>
          <cell r="E221">
            <v>21.3</v>
          </cell>
          <cell r="F221">
            <v>234</v>
          </cell>
          <cell r="G221">
            <v>188</v>
          </cell>
          <cell r="H221">
            <v>80</v>
          </cell>
          <cell r="I221">
            <v>45</v>
          </cell>
          <cell r="J221">
            <v>291</v>
          </cell>
          <cell r="K221">
            <v>650</v>
          </cell>
          <cell r="L221">
            <v>7.3</v>
          </cell>
          <cell r="M221">
            <v>2.5</v>
          </cell>
          <cell r="N221">
            <v>4.5999999999999996</v>
          </cell>
          <cell r="O221">
            <v>0.2</v>
          </cell>
          <cell r="P221">
            <v>2.1</v>
          </cell>
          <cell r="R221">
            <v>200</v>
          </cell>
          <cell r="S221">
            <v>0</v>
          </cell>
          <cell r="T221">
            <v>6.66</v>
          </cell>
          <cell r="V221">
            <v>7</v>
          </cell>
          <cell r="W221">
            <v>5.44</v>
          </cell>
          <cell r="X221">
            <v>-9</v>
          </cell>
          <cell r="Y221">
            <v>0</v>
          </cell>
        </row>
        <row r="222">
          <cell r="B222" t="str">
            <v>WG 46,5/46,5</v>
          </cell>
          <cell r="C222">
            <v>80921</v>
          </cell>
          <cell r="D222">
            <v>2013</v>
          </cell>
          <cell r="E222">
            <v>89.4</v>
          </cell>
          <cell r="F222">
            <v>121</v>
          </cell>
          <cell r="G222">
            <v>58</v>
          </cell>
          <cell r="H222">
            <v>19</v>
          </cell>
          <cell r="I222">
            <v>71</v>
          </cell>
          <cell r="J222">
            <v>31</v>
          </cell>
          <cell r="K222">
            <v>185</v>
          </cell>
          <cell r="L222">
            <v>7.9</v>
          </cell>
          <cell r="M222">
            <v>6.6</v>
          </cell>
          <cell r="N222">
            <v>9.3000000000000007</v>
          </cell>
          <cell r="O222">
            <v>5.3</v>
          </cell>
          <cell r="P222">
            <v>2.8</v>
          </cell>
          <cell r="R222">
            <v>165</v>
          </cell>
          <cell r="S222">
            <v>0</v>
          </cell>
          <cell r="T222">
            <v>8.3699999999999992</v>
          </cell>
          <cell r="W222">
            <v>-7.04</v>
          </cell>
          <cell r="X222">
            <v>604</v>
          </cell>
          <cell r="Y222">
            <v>0</v>
          </cell>
        </row>
        <row r="223">
          <cell r="B223" t="str">
            <v>GB 40/54,5/4/1,5</v>
          </cell>
          <cell r="C223">
            <v>80922</v>
          </cell>
          <cell r="D223">
            <v>2013</v>
          </cell>
          <cell r="E223">
            <v>89.7</v>
          </cell>
          <cell r="F223">
            <v>213</v>
          </cell>
          <cell r="G223">
            <v>134</v>
          </cell>
          <cell r="H223">
            <v>19</v>
          </cell>
          <cell r="I223">
            <v>72</v>
          </cell>
          <cell r="J223">
            <v>58</v>
          </cell>
          <cell r="K223">
            <v>260</v>
          </cell>
          <cell r="L223">
            <v>9</v>
          </cell>
          <cell r="M223">
            <v>10.9</v>
          </cell>
          <cell r="N223">
            <v>9.5</v>
          </cell>
          <cell r="O223">
            <v>4</v>
          </cell>
          <cell r="P223">
            <v>2.6</v>
          </cell>
          <cell r="R223">
            <v>181</v>
          </cell>
          <cell r="S223">
            <v>0</v>
          </cell>
          <cell r="T223">
            <v>8.27</v>
          </cell>
          <cell r="W223">
            <v>5.12</v>
          </cell>
          <cell r="X223">
            <v>436</v>
          </cell>
          <cell r="Y223">
            <v>0</v>
          </cell>
        </row>
        <row r="224">
          <cell r="B224" t="str">
            <v>Ackerbohnen</v>
          </cell>
          <cell r="C224">
            <v>80923</v>
          </cell>
          <cell r="D224">
            <v>2012</v>
          </cell>
          <cell r="E224">
            <v>88.7</v>
          </cell>
          <cell r="F224">
            <v>274</v>
          </cell>
          <cell r="G224">
            <v>157</v>
          </cell>
          <cell r="H224">
            <v>13</v>
          </cell>
          <cell r="I224">
            <v>37</v>
          </cell>
          <cell r="J224">
            <v>164</v>
          </cell>
          <cell r="K224">
            <v>391</v>
          </cell>
          <cell r="L224">
            <v>7.9</v>
          </cell>
          <cell r="M224">
            <v>13.2</v>
          </cell>
          <cell r="N224">
            <v>1.7</v>
          </cell>
          <cell r="O224">
            <v>0.1</v>
          </cell>
          <cell r="P224">
            <v>1.4</v>
          </cell>
          <cell r="R224">
            <v>195</v>
          </cell>
          <cell r="S224">
            <v>0</v>
          </cell>
          <cell r="T224">
            <v>8.34</v>
          </cell>
          <cell r="W224">
            <v>12.64</v>
          </cell>
          <cell r="X224">
            <v>285</v>
          </cell>
          <cell r="Y224">
            <v>0</v>
          </cell>
        </row>
        <row r="225">
          <cell r="B225" t="str">
            <v>*RES</v>
          </cell>
          <cell r="C225">
            <v>80924</v>
          </cell>
          <cell r="D225">
            <v>2013</v>
          </cell>
          <cell r="E225">
            <v>87.6</v>
          </cell>
          <cell r="F225">
            <v>401</v>
          </cell>
          <cell r="G225">
            <v>115</v>
          </cell>
          <cell r="H225">
            <v>17</v>
          </cell>
          <cell r="I225">
            <v>80</v>
          </cell>
          <cell r="J225">
            <v>192</v>
          </cell>
          <cell r="K225">
            <v>332</v>
          </cell>
          <cell r="L225">
            <v>15.9</v>
          </cell>
          <cell r="M225">
            <v>13.6</v>
          </cell>
          <cell r="N225">
            <v>7.4</v>
          </cell>
          <cell r="O225">
            <v>0.2</v>
          </cell>
          <cell r="P225">
            <v>5.0999999999999996</v>
          </cell>
          <cell r="Q225">
            <v>0</v>
          </cell>
          <cell r="R225">
            <v>243</v>
          </cell>
          <cell r="S225">
            <v>0</v>
          </cell>
          <cell r="T225">
            <v>6.08</v>
          </cell>
          <cell r="U225">
            <v>0</v>
          </cell>
          <cell r="V225">
            <v>0</v>
          </cell>
          <cell r="W225">
            <v>25.28</v>
          </cell>
          <cell r="X225">
            <v>170</v>
          </cell>
          <cell r="Y225">
            <v>0</v>
          </cell>
        </row>
        <row r="226">
          <cell r="B226" t="str">
            <v>Heu, 2. S.</v>
          </cell>
          <cell r="C226">
            <v>80925</v>
          </cell>
          <cell r="D226">
            <v>2012</v>
          </cell>
          <cell r="E226">
            <v>91.4</v>
          </cell>
          <cell r="F226">
            <v>112</v>
          </cell>
          <cell r="G226">
            <v>320</v>
          </cell>
          <cell r="H226">
            <v>20</v>
          </cell>
          <cell r="I226">
            <v>74</v>
          </cell>
          <cell r="J226">
            <v>315</v>
          </cell>
          <cell r="K226">
            <v>556</v>
          </cell>
          <cell r="L226">
            <v>4.3</v>
          </cell>
          <cell r="M226">
            <v>16.100000000000001</v>
          </cell>
          <cell r="N226">
            <v>4.5999999999999996</v>
          </cell>
          <cell r="O226">
            <v>1.9</v>
          </cell>
          <cell r="P226">
            <v>2</v>
          </cell>
          <cell r="R226">
            <v>128</v>
          </cell>
          <cell r="S226">
            <v>0</v>
          </cell>
          <cell r="T226">
            <v>5.68</v>
          </cell>
          <cell r="U226">
            <v>3.49</v>
          </cell>
          <cell r="W226">
            <v>-2.56</v>
          </cell>
          <cell r="X226">
            <v>238</v>
          </cell>
          <cell r="Y226">
            <v>0</v>
          </cell>
        </row>
        <row r="227">
          <cell r="B227" t="str">
            <v>Stroh, Gerste</v>
          </cell>
          <cell r="C227">
            <v>80926</v>
          </cell>
          <cell r="D227">
            <v>2012</v>
          </cell>
          <cell r="E227">
            <v>89.9</v>
          </cell>
          <cell r="F227">
            <v>30</v>
          </cell>
          <cell r="G227">
            <v>503</v>
          </cell>
          <cell r="H227">
            <v>14</v>
          </cell>
          <cell r="I227">
            <v>55</v>
          </cell>
          <cell r="J227">
            <v>516</v>
          </cell>
          <cell r="K227">
            <v>817</v>
          </cell>
          <cell r="L227">
            <v>1.2</v>
          </cell>
          <cell r="M227">
            <v>14.2</v>
          </cell>
          <cell r="N227">
            <v>4.7</v>
          </cell>
          <cell r="O227">
            <v>0.4</v>
          </cell>
          <cell r="P227">
            <v>0.8</v>
          </cell>
          <cell r="R227">
            <v>74</v>
          </cell>
          <cell r="S227">
            <v>0</v>
          </cell>
          <cell r="T227">
            <v>3.76</v>
          </cell>
          <cell r="U227">
            <v>4.3</v>
          </cell>
          <cell r="W227">
            <v>-7.04</v>
          </cell>
          <cell r="X227">
            <v>84</v>
          </cell>
          <cell r="Y227">
            <v>0</v>
          </cell>
        </row>
        <row r="228">
          <cell r="B228" t="str">
            <v>RES</v>
          </cell>
          <cell r="C228">
            <v>80929</v>
          </cell>
          <cell r="D228">
            <v>2013</v>
          </cell>
          <cell r="E228">
            <v>88.9</v>
          </cell>
          <cell r="F228">
            <v>376</v>
          </cell>
          <cell r="G228">
            <v>145</v>
          </cell>
          <cell r="H228">
            <v>22</v>
          </cell>
          <cell r="I228">
            <v>75</v>
          </cell>
          <cell r="J228">
            <v>259</v>
          </cell>
          <cell r="K228">
            <v>381</v>
          </cell>
          <cell r="L228">
            <v>15.9</v>
          </cell>
          <cell r="M228">
            <v>14.5</v>
          </cell>
          <cell r="N228">
            <v>9.6</v>
          </cell>
          <cell r="O228">
            <v>1.3</v>
          </cell>
          <cell r="P228">
            <v>4.5</v>
          </cell>
          <cell r="Q228">
            <v>0</v>
          </cell>
          <cell r="R228">
            <v>250</v>
          </cell>
          <cell r="S228">
            <v>0</v>
          </cell>
          <cell r="T228">
            <v>7.3</v>
          </cell>
          <cell r="U228">
            <v>0.36</v>
          </cell>
          <cell r="V228">
            <v>0</v>
          </cell>
          <cell r="W228">
            <v>20.16</v>
          </cell>
          <cell r="X228">
            <v>146</v>
          </cell>
          <cell r="Y228">
            <v>0</v>
          </cell>
        </row>
        <row r="229">
          <cell r="B229" t="str">
            <v>Silo 1</v>
          </cell>
          <cell r="C229">
            <v>80930</v>
          </cell>
          <cell r="D229">
            <v>2012</v>
          </cell>
          <cell r="E229">
            <v>45</v>
          </cell>
          <cell r="F229">
            <v>148</v>
          </cell>
          <cell r="G229">
            <v>331</v>
          </cell>
          <cell r="H229">
            <v>33</v>
          </cell>
          <cell r="I229">
            <v>155</v>
          </cell>
          <cell r="J229">
            <v>292</v>
          </cell>
          <cell r="K229">
            <v>437</v>
          </cell>
          <cell r="L229">
            <v>5.6</v>
          </cell>
          <cell r="M229">
            <v>28.6</v>
          </cell>
          <cell r="N229">
            <v>6.3</v>
          </cell>
          <cell r="O229">
            <v>1.3</v>
          </cell>
          <cell r="P229">
            <v>2.1</v>
          </cell>
          <cell r="R229">
            <v>129</v>
          </cell>
          <cell r="S229">
            <v>0</v>
          </cell>
          <cell r="T229">
            <v>5.83</v>
          </cell>
          <cell r="U229">
            <v>2.77</v>
          </cell>
          <cell r="V229">
            <v>31</v>
          </cell>
          <cell r="W229">
            <v>3.04</v>
          </cell>
          <cell r="X229">
            <v>227</v>
          </cell>
          <cell r="Y229">
            <v>0</v>
          </cell>
        </row>
        <row r="230">
          <cell r="B230" t="str">
            <v>Silo 6</v>
          </cell>
          <cell r="C230">
            <v>80931</v>
          </cell>
          <cell r="D230">
            <v>2011</v>
          </cell>
          <cell r="S230">
            <v>0</v>
          </cell>
          <cell r="V230">
            <v>5</v>
          </cell>
          <cell r="W230">
            <v>0</v>
          </cell>
          <cell r="Y230">
            <v>0</v>
          </cell>
        </row>
        <row r="231">
          <cell r="B231" t="str">
            <v>Silo 6</v>
          </cell>
          <cell r="C231">
            <v>80931</v>
          </cell>
          <cell r="D231">
            <v>2011</v>
          </cell>
          <cell r="E231">
            <v>38.299999999999997</v>
          </cell>
          <cell r="F231">
            <v>77</v>
          </cell>
          <cell r="G231">
            <v>171</v>
          </cell>
          <cell r="H231">
            <v>42</v>
          </cell>
          <cell r="I231">
            <v>35</v>
          </cell>
          <cell r="J231">
            <v>185</v>
          </cell>
          <cell r="K231">
            <v>378</v>
          </cell>
          <cell r="L231">
            <v>3.4</v>
          </cell>
          <cell r="M231">
            <v>9.4</v>
          </cell>
          <cell r="N231">
            <v>2.5</v>
          </cell>
          <cell r="O231">
            <v>0.3</v>
          </cell>
          <cell r="P231">
            <v>1.2</v>
          </cell>
          <cell r="R231">
            <v>143</v>
          </cell>
          <cell r="S231">
            <v>0</v>
          </cell>
          <cell r="T231">
            <v>7.41</v>
          </cell>
          <cell r="U231">
            <v>1.7</v>
          </cell>
          <cell r="W231">
            <v>-10.56</v>
          </cell>
          <cell r="X231">
            <v>468</v>
          </cell>
          <cell r="Y231">
            <v>0</v>
          </cell>
        </row>
        <row r="232">
          <cell r="B232" t="str">
            <v>Pressschnitzel</v>
          </cell>
          <cell r="C232">
            <v>80932</v>
          </cell>
          <cell r="D232">
            <v>2012</v>
          </cell>
          <cell r="E232">
            <v>31.7</v>
          </cell>
          <cell r="F232">
            <v>90</v>
          </cell>
          <cell r="G232">
            <v>232</v>
          </cell>
          <cell r="H232">
            <v>5.5</v>
          </cell>
          <cell r="I232">
            <v>105</v>
          </cell>
          <cell r="J232">
            <v>227</v>
          </cell>
          <cell r="K232">
            <v>500</v>
          </cell>
          <cell r="L232">
            <v>1.4</v>
          </cell>
          <cell r="M232">
            <v>3.8</v>
          </cell>
          <cell r="N232">
            <v>10.6</v>
          </cell>
          <cell r="O232">
            <v>0.3</v>
          </cell>
          <cell r="P232">
            <v>2.2000000000000002</v>
          </cell>
          <cell r="R232">
            <v>140</v>
          </cell>
          <cell r="S232">
            <v>0</v>
          </cell>
          <cell r="T232">
            <v>7.07</v>
          </cell>
          <cell r="U232">
            <v>1.05</v>
          </cell>
          <cell r="V232">
            <v>27</v>
          </cell>
          <cell r="W232">
            <v>-8</v>
          </cell>
          <cell r="X232">
            <v>299.5</v>
          </cell>
          <cell r="Y232">
            <v>0</v>
          </cell>
        </row>
        <row r="233">
          <cell r="B233" t="str">
            <v xml:space="preserve"> Treber</v>
          </cell>
          <cell r="C233">
            <v>80933</v>
          </cell>
          <cell r="D233">
            <v>2013</v>
          </cell>
          <cell r="E233">
            <v>22.2</v>
          </cell>
          <cell r="F233">
            <v>214</v>
          </cell>
          <cell r="G233">
            <v>213</v>
          </cell>
          <cell r="H233">
            <v>80</v>
          </cell>
          <cell r="I233">
            <v>42</v>
          </cell>
          <cell r="J233">
            <v>336</v>
          </cell>
          <cell r="K233">
            <v>637</v>
          </cell>
          <cell r="L233">
            <v>7.7</v>
          </cell>
          <cell r="M233">
            <v>2</v>
          </cell>
          <cell r="N233">
            <v>5.0999999999999996</v>
          </cell>
          <cell r="O233">
            <v>0.3</v>
          </cell>
          <cell r="P233">
            <v>1.9</v>
          </cell>
          <cell r="R233">
            <v>191</v>
          </cell>
          <cell r="S233">
            <v>0</v>
          </cell>
          <cell r="T233">
            <v>6.63</v>
          </cell>
          <cell r="U233">
            <v>1</v>
          </cell>
          <cell r="V233">
            <v>12</v>
          </cell>
          <cell r="W233">
            <v>3.68</v>
          </cell>
          <cell r="X233">
            <v>27</v>
          </cell>
          <cell r="Y233">
            <v>0</v>
          </cell>
        </row>
        <row r="234">
          <cell r="B234" t="str">
            <v>WG 46,5/46,5</v>
          </cell>
          <cell r="C234">
            <v>80934</v>
          </cell>
          <cell r="D234">
            <v>2013</v>
          </cell>
          <cell r="E234">
            <v>89.3</v>
          </cell>
          <cell r="F234">
            <v>262</v>
          </cell>
          <cell r="G234">
            <v>142</v>
          </cell>
          <cell r="H234">
            <v>19</v>
          </cell>
          <cell r="I234">
            <v>73</v>
          </cell>
          <cell r="J234">
            <v>122</v>
          </cell>
          <cell r="K234">
            <v>261</v>
          </cell>
          <cell r="L234">
            <v>11.1</v>
          </cell>
          <cell r="M234">
            <v>10.4</v>
          </cell>
          <cell r="N234">
            <v>10.1</v>
          </cell>
          <cell r="O234">
            <v>2.9</v>
          </cell>
          <cell r="P234">
            <v>3.2</v>
          </cell>
          <cell r="R234">
            <v>194</v>
          </cell>
          <cell r="S234">
            <v>0</v>
          </cell>
          <cell r="T234">
            <v>7.56</v>
          </cell>
          <cell r="W234">
            <v>10.88</v>
          </cell>
          <cell r="X234">
            <v>385</v>
          </cell>
          <cell r="Y234">
            <v>0</v>
          </cell>
        </row>
        <row r="235">
          <cell r="B235" t="str">
            <v>GB 40/54,5/4/1,5</v>
          </cell>
          <cell r="C235">
            <v>80935</v>
          </cell>
          <cell r="D235">
            <v>2013</v>
          </cell>
          <cell r="E235">
            <v>89.3</v>
          </cell>
          <cell r="F235">
            <v>244</v>
          </cell>
          <cell r="G235">
            <v>204</v>
          </cell>
          <cell r="H235">
            <v>17</v>
          </cell>
          <cell r="I235">
            <v>96</v>
          </cell>
          <cell r="J235">
            <v>124</v>
          </cell>
          <cell r="K235">
            <v>287</v>
          </cell>
          <cell r="L235">
            <v>11.4</v>
          </cell>
          <cell r="M235">
            <v>11.3</v>
          </cell>
          <cell r="N235">
            <v>16</v>
          </cell>
          <cell r="O235">
            <v>6.8</v>
          </cell>
          <cell r="P235">
            <v>3.2</v>
          </cell>
          <cell r="R235">
            <v>180</v>
          </cell>
          <cell r="S235">
            <v>0</v>
          </cell>
          <cell r="T235">
            <v>7.63</v>
          </cell>
          <cell r="W235">
            <v>10.24</v>
          </cell>
          <cell r="X235">
            <v>356</v>
          </cell>
          <cell r="Y235">
            <v>0</v>
          </cell>
        </row>
        <row r="236">
          <cell r="B236" t="str">
            <v>Ackerbohnen</v>
          </cell>
          <cell r="C236">
            <v>80936</v>
          </cell>
          <cell r="D236">
            <v>2012</v>
          </cell>
          <cell r="E236">
            <v>88</v>
          </cell>
          <cell r="F236">
            <v>274</v>
          </cell>
          <cell r="G236">
            <v>228</v>
          </cell>
          <cell r="H236">
            <v>13</v>
          </cell>
          <cell r="I236">
            <v>36</v>
          </cell>
          <cell r="J236">
            <v>225</v>
          </cell>
          <cell r="K236">
            <v>379</v>
          </cell>
          <cell r="L236">
            <v>8.3000000000000007</v>
          </cell>
          <cell r="M236">
            <v>15.1</v>
          </cell>
          <cell r="N236">
            <v>2.2000000000000002</v>
          </cell>
          <cell r="O236">
            <v>0.3</v>
          </cell>
          <cell r="P236">
            <v>1.6</v>
          </cell>
          <cell r="R236">
            <v>189</v>
          </cell>
          <cell r="S236">
            <v>0</v>
          </cell>
          <cell r="T236">
            <v>8.48</v>
          </cell>
          <cell r="W236">
            <v>13.6</v>
          </cell>
          <cell r="X236">
            <v>298</v>
          </cell>
          <cell r="Y236">
            <v>0</v>
          </cell>
        </row>
        <row r="237">
          <cell r="B237" t="str">
            <v>RES</v>
          </cell>
          <cell r="C237">
            <v>80937</v>
          </cell>
          <cell r="D237">
            <v>2013</v>
          </cell>
          <cell r="E237">
            <v>88.8</v>
          </cell>
          <cell r="F237">
            <v>377</v>
          </cell>
          <cell r="G237">
            <v>144</v>
          </cell>
          <cell r="H237">
            <v>22</v>
          </cell>
          <cell r="I237">
            <v>77</v>
          </cell>
          <cell r="J237">
            <v>249</v>
          </cell>
          <cell r="K237">
            <v>369</v>
          </cell>
          <cell r="L237">
            <v>15</v>
          </cell>
          <cell r="M237">
            <v>15.2</v>
          </cell>
          <cell r="N237">
            <v>9</v>
          </cell>
          <cell r="O237">
            <v>1.1000000000000001</v>
          </cell>
          <cell r="P237">
            <v>4.7</v>
          </cell>
          <cell r="R237">
            <v>250</v>
          </cell>
          <cell r="S237">
            <v>0</v>
          </cell>
          <cell r="T237">
            <v>7.29</v>
          </cell>
          <cell r="W237">
            <v>20.32</v>
          </cell>
          <cell r="X237">
            <v>155</v>
          </cell>
          <cell r="Y237">
            <v>0</v>
          </cell>
        </row>
        <row r="238">
          <cell r="B238" t="str">
            <v>Heu, 2. S.</v>
          </cell>
          <cell r="C238">
            <v>80938</v>
          </cell>
          <cell r="D238">
            <v>2012</v>
          </cell>
          <cell r="E238">
            <v>90.8</v>
          </cell>
          <cell r="F238">
            <v>134</v>
          </cell>
          <cell r="G238">
            <v>347</v>
          </cell>
          <cell r="H238">
            <v>31</v>
          </cell>
          <cell r="I238">
            <v>76</v>
          </cell>
          <cell r="J238">
            <v>329</v>
          </cell>
          <cell r="K238">
            <v>537</v>
          </cell>
          <cell r="L238">
            <v>5.0999999999999996</v>
          </cell>
          <cell r="M238">
            <v>18.8</v>
          </cell>
          <cell r="N238">
            <v>6.3</v>
          </cell>
          <cell r="O238">
            <v>2.9</v>
          </cell>
          <cell r="P238">
            <v>2.6</v>
          </cell>
          <cell r="R238">
            <v>135</v>
          </cell>
          <cell r="S238">
            <v>0</v>
          </cell>
          <cell r="T238">
            <v>5.81</v>
          </cell>
          <cell r="W238">
            <v>-0.16</v>
          </cell>
          <cell r="X238">
            <v>222</v>
          </cell>
          <cell r="Y238">
            <v>0</v>
          </cell>
        </row>
        <row r="239">
          <cell r="B239" t="str">
            <v>Stroh, Gerste</v>
          </cell>
          <cell r="C239">
            <v>80939</v>
          </cell>
          <cell r="D239">
            <v>2012</v>
          </cell>
          <cell r="E239">
            <v>91.6</v>
          </cell>
          <cell r="F239">
            <v>29</v>
          </cell>
          <cell r="G239">
            <v>508</v>
          </cell>
          <cell r="H239">
            <v>17</v>
          </cell>
          <cell r="I239">
            <v>55</v>
          </cell>
          <cell r="J239">
            <v>523</v>
          </cell>
          <cell r="K239">
            <v>831</v>
          </cell>
          <cell r="L239">
            <v>1</v>
          </cell>
          <cell r="M239">
            <v>13.9</v>
          </cell>
          <cell r="N239">
            <v>5.6</v>
          </cell>
          <cell r="O239">
            <v>0.4</v>
          </cell>
          <cell r="P239">
            <v>0.9</v>
          </cell>
          <cell r="R239">
            <v>74</v>
          </cell>
          <cell r="S239">
            <v>0</v>
          </cell>
          <cell r="T239">
            <v>3.76</v>
          </cell>
          <cell r="W239">
            <v>-7.2</v>
          </cell>
          <cell r="X239">
            <v>68</v>
          </cell>
          <cell r="Y239">
            <v>0</v>
          </cell>
        </row>
        <row r="240">
          <cell r="B240" t="str">
            <v>Silo 1</v>
          </cell>
          <cell r="C240">
            <v>80944</v>
          </cell>
          <cell r="D240">
            <v>2012</v>
          </cell>
          <cell r="S240">
            <v>0</v>
          </cell>
          <cell r="V240">
            <v>48</v>
          </cell>
          <cell r="W240">
            <v>0</v>
          </cell>
          <cell r="Y240">
            <v>0</v>
          </cell>
        </row>
        <row r="241">
          <cell r="B241" t="str">
            <v>Silo 1</v>
          </cell>
          <cell r="C241">
            <v>80944</v>
          </cell>
          <cell r="D241">
            <v>2012</v>
          </cell>
          <cell r="E241">
            <v>37.700000000000003</v>
          </cell>
          <cell r="F241">
            <v>157</v>
          </cell>
          <cell r="G241">
            <v>336</v>
          </cell>
          <cell r="H241">
            <v>35</v>
          </cell>
          <cell r="I241">
            <v>146</v>
          </cell>
          <cell r="J241">
            <v>264</v>
          </cell>
          <cell r="K241">
            <v>441</v>
          </cell>
          <cell r="L241">
            <v>6.5</v>
          </cell>
          <cell r="M241">
            <v>35.200000000000003</v>
          </cell>
          <cell r="N241">
            <v>5.6</v>
          </cell>
          <cell r="O241">
            <v>0.6</v>
          </cell>
          <cell r="P241">
            <v>2.6</v>
          </cell>
          <cell r="R241">
            <v>141</v>
          </cell>
          <cell r="S241">
            <v>0</v>
          </cell>
          <cell r="T241">
            <v>6.55</v>
          </cell>
          <cell r="U241">
            <v>2.8</v>
          </cell>
          <cell r="W241">
            <v>2.56</v>
          </cell>
          <cell r="X241">
            <v>221</v>
          </cell>
          <cell r="Y241">
            <v>0</v>
          </cell>
        </row>
        <row r="242">
          <cell r="B242" t="str">
            <v>Silo 6</v>
          </cell>
          <cell r="C242">
            <v>80945</v>
          </cell>
          <cell r="D242">
            <v>2011</v>
          </cell>
          <cell r="S242">
            <v>0</v>
          </cell>
          <cell r="V242">
            <v>7</v>
          </cell>
          <cell r="W242">
            <v>0</v>
          </cell>
          <cell r="Y242">
            <v>0</v>
          </cell>
        </row>
        <row r="243">
          <cell r="B243" t="str">
            <v>Silo 6</v>
          </cell>
          <cell r="C243">
            <v>80945</v>
          </cell>
          <cell r="D243">
            <v>2011</v>
          </cell>
          <cell r="E243">
            <v>38.4</v>
          </cell>
          <cell r="F243">
            <v>83</v>
          </cell>
          <cell r="G243">
            <v>194</v>
          </cell>
          <cell r="H243">
            <v>42</v>
          </cell>
          <cell r="I243">
            <v>43</v>
          </cell>
          <cell r="J243">
            <v>188</v>
          </cell>
          <cell r="K243">
            <v>424</v>
          </cell>
          <cell r="L243">
            <v>3.4</v>
          </cell>
          <cell r="M243">
            <v>8.1</v>
          </cell>
          <cell r="N243">
            <v>4.5</v>
          </cell>
          <cell r="O243">
            <v>0.3</v>
          </cell>
          <cell r="P243">
            <v>1.8</v>
          </cell>
          <cell r="R243">
            <v>143</v>
          </cell>
          <cell r="S243">
            <v>0</v>
          </cell>
          <cell r="T243">
            <v>7.32</v>
          </cell>
          <cell r="U243">
            <v>1.98</v>
          </cell>
          <cell r="W243">
            <v>-9.6</v>
          </cell>
          <cell r="X243">
            <v>408</v>
          </cell>
          <cell r="Y243">
            <v>0</v>
          </cell>
        </row>
        <row r="244">
          <cell r="B244" t="str">
            <v xml:space="preserve"> Treber</v>
          </cell>
          <cell r="C244">
            <v>80948</v>
          </cell>
          <cell r="D244">
            <v>2013</v>
          </cell>
          <cell r="E244">
            <v>24.8</v>
          </cell>
          <cell r="F244">
            <v>237</v>
          </cell>
          <cell r="G244">
            <v>286</v>
          </cell>
          <cell r="H244">
            <v>79</v>
          </cell>
          <cell r="I244">
            <v>43</v>
          </cell>
          <cell r="J244">
            <v>317</v>
          </cell>
          <cell r="K244">
            <v>703</v>
          </cell>
          <cell r="L244">
            <v>8.1999999999999993</v>
          </cell>
          <cell r="M244">
            <v>1.7</v>
          </cell>
          <cell r="N244">
            <v>3.8</v>
          </cell>
          <cell r="O244">
            <v>0.2</v>
          </cell>
          <cell r="P244">
            <v>2.6</v>
          </cell>
          <cell r="R244">
            <v>200</v>
          </cell>
          <cell r="S244">
            <v>0</v>
          </cell>
          <cell r="T244">
            <v>6.6</v>
          </cell>
          <cell r="W244">
            <v>5.92</v>
          </cell>
          <cell r="X244">
            <v>-62</v>
          </cell>
          <cell r="Y244">
            <v>0</v>
          </cell>
        </row>
        <row r="245">
          <cell r="B245" t="str">
            <v>Silo 1</v>
          </cell>
          <cell r="C245">
            <v>80949</v>
          </cell>
          <cell r="D245">
            <v>2012</v>
          </cell>
          <cell r="E245">
            <v>36</v>
          </cell>
          <cell r="F245">
            <v>161</v>
          </cell>
          <cell r="G245">
            <v>316</v>
          </cell>
          <cell r="H245">
            <v>35</v>
          </cell>
          <cell r="I245">
            <v>150</v>
          </cell>
          <cell r="J245">
            <v>256</v>
          </cell>
          <cell r="K245">
            <v>419</v>
          </cell>
          <cell r="L245">
            <v>6.5</v>
          </cell>
          <cell r="M245">
            <v>39.4</v>
          </cell>
          <cell r="N245">
            <v>4.5</v>
          </cell>
          <cell r="O245">
            <v>0.5</v>
          </cell>
          <cell r="P245">
            <v>1.9</v>
          </cell>
          <cell r="R245">
            <v>144</v>
          </cell>
          <cell r="S245">
            <v>0</v>
          </cell>
          <cell r="T245">
            <v>6.67</v>
          </cell>
          <cell r="U245">
            <v>2.66</v>
          </cell>
          <cell r="W245">
            <v>2.72</v>
          </cell>
          <cell r="X245">
            <v>235</v>
          </cell>
          <cell r="Y245">
            <v>0</v>
          </cell>
        </row>
        <row r="246">
          <cell r="B246" t="str">
            <v>Silo 6</v>
          </cell>
          <cell r="C246">
            <v>80950</v>
          </cell>
          <cell r="D246">
            <v>2011</v>
          </cell>
          <cell r="E246">
            <v>38.9</v>
          </cell>
          <cell r="F246">
            <v>80</v>
          </cell>
          <cell r="G246">
            <v>212</v>
          </cell>
          <cell r="H246">
            <v>36</v>
          </cell>
          <cell r="I246">
            <v>38</v>
          </cell>
          <cell r="J246">
            <v>200</v>
          </cell>
          <cell r="K246">
            <v>420</v>
          </cell>
          <cell r="L246">
            <v>3.5</v>
          </cell>
          <cell r="M246">
            <v>8.4</v>
          </cell>
          <cell r="N246">
            <v>2</v>
          </cell>
          <cell r="O246">
            <v>0.1</v>
          </cell>
          <cell r="P246">
            <v>1.3</v>
          </cell>
          <cell r="R246">
            <v>140</v>
          </cell>
          <cell r="S246">
            <v>0</v>
          </cell>
          <cell r="T246">
            <v>7.12</v>
          </cell>
          <cell r="U246">
            <v>1.95</v>
          </cell>
          <cell r="W246">
            <v>-9.6</v>
          </cell>
          <cell r="X246">
            <v>426</v>
          </cell>
          <cell r="Y246">
            <v>0</v>
          </cell>
        </row>
        <row r="247">
          <cell r="B247" t="str">
            <v>Pressschnitzel</v>
          </cell>
          <cell r="C247">
            <v>80951</v>
          </cell>
          <cell r="D247">
            <v>2012</v>
          </cell>
          <cell r="E247">
            <v>30.3</v>
          </cell>
          <cell r="F247">
            <v>89</v>
          </cell>
          <cell r="G247">
            <v>241</v>
          </cell>
          <cell r="H247">
            <v>5.8</v>
          </cell>
          <cell r="I247">
            <v>111</v>
          </cell>
          <cell r="J247">
            <v>207</v>
          </cell>
          <cell r="K247">
            <v>497</v>
          </cell>
          <cell r="L247">
            <v>1.6</v>
          </cell>
          <cell r="M247">
            <v>2.9</v>
          </cell>
          <cell r="N247">
            <v>8.9</v>
          </cell>
          <cell r="O247">
            <v>0.6</v>
          </cell>
          <cell r="P247">
            <v>2.4</v>
          </cell>
          <cell r="R247">
            <v>139</v>
          </cell>
          <cell r="S247">
            <v>0</v>
          </cell>
          <cell r="T247">
            <v>7</v>
          </cell>
          <cell r="W247">
            <v>-8</v>
          </cell>
          <cell r="X247">
            <v>297.2</v>
          </cell>
          <cell r="Y247">
            <v>0</v>
          </cell>
        </row>
        <row r="248">
          <cell r="B248" t="str">
            <v>Treber</v>
          </cell>
          <cell r="C248">
            <v>80952</v>
          </cell>
          <cell r="D248">
            <v>2013</v>
          </cell>
          <cell r="E248">
            <v>21.6</v>
          </cell>
          <cell r="F248">
            <v>218</v>
          </cell>
          <cell r="G248">
            <v>283</v>
          </cell>
          <cell r="H248">
            <v>66</v>
          </cell>
          <cell r="I248">
            <v>43</v>
          </cell>
          <cell r="J248">
            <v>305</v>
          </cell>
          <cell r="K248">
            <v>630</v>
          </cell>
          <cell r="L248">
            <v>8.1999999999999993</v>
          </cell>
          <cell r="M248">
            <v>1.3</v>
          </cell>
          <cell r="N248">
            <v>3.7</v>
          </cell>
          <cell r="O248">
            <v>0.1</v>
          </cell>
          <cell r="P248">
            <v>2.7</v>
          </cell>
          <cell r="R248">
            <v>190</v>
          </cell>
          <cell r="S248">
            <v>0</v>
          </cell>
          <cell r="T248">
            <v>6.46</v>
          </cell>
          <cell r="W248">
            <v>4.4800000000000004</v>
          </cell>
          <cell r="X248">
            <v>43</v>
          </cell>
          <cell r="Y248">
            <v>0</v>
          </cell>
        </row>
        <row r="249">
          <cell r="B249" t="str">
            <v>WG 46,5/46,5</v>
          </cell>
          <cell r="C249">
            <v>80953</v>
          </cell>
          <cell r="D249">
            <v>2013</v>
          </cell>
          <cell r="E249">
            <v>88.8</v>
          </cell>
          <cell r="F249">
            <v>272</v>
          </cell>
          <cell r="G249">
            <v>139</v>
          </cell>
          <cell r="H249">
            <v>20</v>
          </cell>
          <cell r="I249">
            <v>69</v>
          </cell>
          <cell r="J249">
            <v>145</v>
          </cell>
          <cell r="K249">
            <v>329</v>
          </cell>
          <cell r="L249">
            <v>27</v>
          </cell>
          <cell r="M249">
            <v>9</v>
          </cell>
          <cell r="N249">
            <v>8.4</v>
          </cell>
          <cell r="O249">
            <v>3</v>
          </cell>
          <cell r="P249">
            <v>3.8</v>
          </cell>
          <cell r="R249">
            <v>196</v>
          </cell>
          <cell r="S249">
            <v>0</v>
          </cell>
          <cell r="T249">
            <v>7.49</v>
          </cell>
          <cell r="W249">
            <v>12.16</v>
          </cell>
          <cell r="X249">
            <v>310</v>
          </cell>
          <cell r="Y249">
            <v>0</v>
          </cell>
        </row>
        <row r="250">
          <cell r="B250" t="str">
            <v>GB 40/54,5/4/1,5</v>
          </cell>
          <cell r="C250">
            <v>80954</v>
          </cell>
          <cell r="D250">
            <v>2013</v>
          </cell>
          <cell r="E250">
            <v>89</v>
          </cell>
          <cell r="F250">
            <v>258</v>
          </cell>
          <cell r="G250">
            <v>165</v>
          </cell>
          <cell r="H250">
            <v>18</v>
          </cell>
          <cell r="I250">
            <v>86</v>
          </cell>
          <cell r="J250">
            <v>143</v>
          </cell>
          <cell r="K250">
            <v>336</v>
          </cell>
          <cell r="L250">
            <v>22</v>
          </cell>
          <cell r="M250">
            <v>10</v>
          </cell>
          <cell r="N250">
            <v>11</v>
          </cell>
          <cell r="O250">
            <v>9.1999999999999993</v>
          </cell>
          <cell r="P250">
            <v>4.9000000000000004</v>
          </cell>
          <cell r="R250">
            <v>182</v>
          </cell>
          <cell r="S250">
            <v>0</v>
          </cell>
          <cell r="T250">
            <v>7.23</v>
          </cell>
          <cell r="W250">
            <v>12.16</v>
          </cell>
          <cell r="X250">
            <v>302</v>
          </cell>
          <cell r="Y250">
            <v>0</v>
          </cell>
        </row>
        <row r="251">
          <cell r="B251" t="str">
            <v>Ackerbohnen</v>
          </cell>
          <cell r="C251">
            <v>80955</v>
          </cell>
          <cell r="D251">
            <v>2012</v>
          </cell>
          <cell r="E251">
            <v>88.5</v>
          </cell>
          <cell r="F251">
            <v>277</v>
          </cell>
          <cell r="G251">
            <v>179</v>
          </cell>
          <cell r="H251">
            <v>13</v>
          </cell>
          <cell r="I251">
            <v>44</v>
          </cell>
          <cell r="J251">
            <v>183</v>
          </cell>
          <cell r="K251">
            <v>344</v>
          </cell>
          <cell r="L251">
            <v>15.8</v>
          </cell>
          <cell r="M251">
            <v>12.1</v>
          </cell>
          <cell r="N251">
            <v>1.9</v>
          </cell>
          <cell r="O251">
            <v>0.5</v>
          </cell>
          <cell r="P251">
            <v>1.4</v>
          </cell>
          <cell r="R251">
            <v>189</v>
          </cell>
          <cell r="S251">
            <v>0</v>
          </cell>
          <cell r="T251">
            <v>8.4700000000000006</v>
          </cell>
          <cell r="W251">
            <v>14.08</v>
          </cell>
          <cell r="X251">
            <v>322</v>
          </cell>
          <cell r="Y251">
            <v>0</v>
          </cell>
        </row>
        <row r="252">
          <cell r="B252" t="str">
            <v>RES</v>
          </cell>
          <cell r="C252">
            <v>80956</v>
          </cell>
          <cell r="D252">
            <v>2013</v>
          </cell>
          <cell r="E252">
            <v>88.9</v>
          </cell>
          <cell r="F252">
            <v>377</v>
          </cell>
          <cell r="G252">
            <v>179</v>
          </cell>
          <cell r="H252">
            <v>20</v>
          </cell>
          <cell r="I252">
            <v>73</v>
          </cell>
          <cell r="J252">
            <v>245</v>
          </cell>
          <cell r="K252">
            <v>362</v>
          </cell>
          <cell r="L252">
            <v>18.2</v>
          </cell>
          <cell r="M252">
            <v>12.6</v>
          </cell>
          <cell r="N252">
            <v>7.4</v>
          </cell>
          <cell r="O252">
            <v>0.9</v>
          </cell>
          <cell r="P252">
            <v>3.9</v>
          </cell>
          <cell r="R252">
            <v>250</v>
          </cell>
          <cell r="S252">
            <v>0</v>
          </cell>
          <cell r="T252">
            <v>7.29</v>
          </cell>
          <cell r="W252">
            <v>20.32</v>
          </cell>
          <cell r="X252">
            <v>168</v>
          </cell>
          <cell r="Y252">
            <v>0</v>
          </cell>
        </row>
        <row r="253">
          <cell r="B253" t="str">
            <v>Heu, 2. S.</v>
          </cell>
          <cell r="C253">
            <v>80957</v>
          </cell>
          <cell r="D253">
            <v>2012</v>
          </cell>
          <cell r="E253">
            <v>90.6</v>
          </cell>
          <cell r="F253">
            <v>139</v>
          </cell>
          <cell r="G253">
            <v>345</v>
          </cell>
          <cell r="H253">
            <v>28</v>
          </cell>
          <cell r="I253">
            <v>78</v>
          </cell>
          <cell r="J253">
            <v>330</v>
          </cell>
          <cell r="K253">
            <v>552</v>
          </cell>
          <cell r="L253">
            <v>8.1999999999999993</v>
          </cell>
          <cell r="M253">
            <v>15.6</v>
          </cell>
          <cell r="N253">
            <v>5.2</v>
          </cell>
          <cell r="O253">
            <v>3.3</v>
          </cell>
          <cell r="P253">
            <v>2.6</v>
          </cell>
          <cell r="R253">
            <v>136</v>
          </cell>
          <cell r="S253">
            <v>0</v>
          </cell>
          <cell r="T253">
            <v>5.8</v>
          </cell>
          <cell r="U253">
            <v>3.46</v>
          </cell>
          <cell r="W253">
            <v>0.48</v>
          </cell>
          <cell r="X253">
            <v>203</v>
          </cell>
          <cell r="Y253">
            <v>0</v>
          </cell>
        </row>
        <row r="254">
          <cell r="B254" t="str">
            <v>Stroh, Gerste</v>
          </cell>
          <cell r="C254">
            <v>80958</v>
          </cell>
          <cell r="D254">
            <v>2012</v>
          </cell>
          <cell r="E254">
            <v>91.2</v>
          </cell>
          <cell r="F254">
            <v>29</v>
          </cell>
          <cell r="G254">
            <v>514</v>
          </cell>
          <cell r="H254">
            <v>13</v>
          </cell>
          <cell r="I254">
            <v>65</v>
          </cell>
          <cell r="J254">
            <v>517</v>
          </cell>
          <cell r="K254">
            <v>822</v>
          </cell>
          <cell r="L254">
            <v>2.2999999999999998</v>
          </cell>
          <cell r="M254">
            <v>15.6</v>
          </cell>
          <cell r="N254">
            <v>3.1</v>
          </cell>
          <cell r="O254">
            <v>0.1</v>
          </cell>
          <cell r="P254">
            <v>0.5</v>
          </cell>
          <cell r="R254">
            <v>73</v>
          </cell>
          <cell r="S254">
            <v>0</v>
          </cell>
          <cell r="T254">
            <v>3.71</v>
          </cell>
          <cell r="U254">
            <v>4.3</v>
          </cell>
          <cell r="W254">
            <v>-7.04</v>
          </cell>
          <cell r="X254">
            <v>71</v>
          </cell>
          <cell r="Y254">
            <v>0</v>
          </cell>
        </row>
        <row r="255">
          <cell r="B255" t="str">
            <v>Silo 1</v>
          </cell>
          <cell r="C255">
            <v>80964</v>
          </cell>
          <cell r="D255">
            <v>2012</v>
          </cell>
          <cell r="E255">
            <v>40.799999999999997</v>
          </cell>
          <cell r="F255">
            <v>157</v>
          </cell>
          <cell r="G255">
            <v>331</v>
          </cell>
          <cell r="H255">
            <v>42</v>
          </cell>
          <cell r="I255">
            <v>147</v>
          </cell>
          <cell r="J255">
            <v>321</v>
          </cell>
          <cell r="K255">
            <v>479</v>
          </cell>
          <cell r="L255">
            <v>5.8</v>
          </cell>
          <cell r="M255">
            <v>35.200000000000003</v>
          </cell>
          <cell r="N255">
            <v>6.4</v>
          </cell>
          <cell r="O255">
            <v>1.2</v>
          </cell>
          <cell r="P255">
            <v>2.2000000000000002</v>
          </cell>
          <cell r="R255">
            <v>132</v>
          </cell>
          <cell r="S255">
            <v>0</v>
          </cell>
          <cell r="T255">
            <v>5.91</v>
          </cell>
          <cell r="U255">
            <v>3.02</v>
          </cell>
          <cell r="V255">
            <v>55</v>
          </cell>
          <cell r="W255">
            <v>4</v>
          </cell>
          <cell r="X255">
            <v>175</v>
          </cell>
          <cell r="Y255">
            <v>0</v>
          </cell>
        </row>
        <row r="256">
          <cell r="B256" t="str">
            <v>Silo 6</v>
          </cell>
          <cell r="C256">
            <v>80965</v>
          </cell>
          <cell r="D256">
            <v>2011</v>
          </cell>
          <cell r="E256">
            <v>36.700000000000003</v>
          </cell>
          <cell r="F256">
            <v>78</v>
          </cell>
          <cell r="G256">
            <v>225</v>
          </cell>
          <cell r="H256">
            <v>41</v>
          </cell>
          <cell r="I256">
            <v>36</v>
          </cell>
          <cell r="J256">
            <v>216</v>
          </cell>
          <cell r="K256">
            <v>394</v>
          </cell>
          <cell r="L256">
            <v>3</v>
          </cell>
          <cell r="M256">
            <v>11.3</v>
          </cell>
          <cell r="N256">
            <v>2.1</v>
          </cell>
          <cell r="O256">
            <v>0.2</v>
          </cell>
          <cell r="P256">
            <v>1.1000000000000001</v>
          </cell>
          <cell r="R256">
            <v>140</v>
          </cell>
          <cell r="S256">
            <v>0</v>
          </cell>
          <cell r="T256">
            <v>7.17</v>
          </cell>
          <cell r="U256">
            <v>1.79</v>
          </cell>
          <cell r="V256">
            <v>5</v>
          </cell>
          <cell r="W256">
            <v>-9.92</v>
          </cell>
          <cell r="X256">
            <v>451</v>
          </cell>
          <cell r="Y256">
            <v>0</v>
          </cell>
        </row>
        <row r="257">
          <cell r="B257" t="str">
            <v>Pressschnitzel</v>
          </cell>
          <cell r="C257">
            <v>80966</v>
          </cell>
          <cell r="D257">
            <v>2012</v>
          </cell>
          <cell r="E257">
            <v>30.8</v>
          </cell>
          <cell r="F257">
            <v>95</v>
          </cell>
          <cell r="G257">
            <v>247</v>
          </cell>
          <cell r="H257">
            <v>6</v>
          </cell>
          <cell r="I257">
            <v>101</v>
          </cell>
          <cell r="J257">
            <v>241</v>
          </cell>
          <cell r="K257">
            <v>516</v>
          </cell>
          <cell r="L257">
            <v>1.4</v>
          </cell>
          <cell r="M257">
            <v>5.4</v>
          </cell>
          <cell r="N257">
            <v>10</v>
          </cell>
          <cell r="O257">
            <v>0.3</v>
          </cell>
          <cell r="P257">
            <v>2.1</v>
          </cell>
          <cell r="R257">
            <v>142</v>
          </cell>
          <cell r="S257">
            <v>0</v>
          </cell>
          <cell r="T257">
            <v>7.09</v>
          </cell>
          <cell r="U257">
            <v>1.1000000000000001</v>
          </cell>
          <cell r="V257">
            <v>22</v>
          </cell>
          <cell r="W257">
            <v>-7.52</v>
          </cell>
          <cell r="X257">
            <v>282</v>
          </cell>
          <cell r="Y257">
            <v>0</v>
          </cell>
        </row>
        <row r="258">
          <cell r="B258" t="str">
            <v>Treber</v>
          </cell>
          <cell r="C258">
            <v>80967</v>
          </cell>
          <cell r="D258">
            <v>2013</v>
          </cell>
          <cell r="E258">
            <v>21</v>
          </cell>
          <cell r="F258">
            <v>229</v>
          </cell>
          <cell r="G258">
            <v>246</v>
          </cell>
          <cell r="H258">
            <v>87</v>
          </cell>
          <cell r="I258">
            <v>46</v>
          </cell>
          <cell r="J258">
            <v>341</v>
          </cell>
          <cell r="K258">
            <v>638</v>
          </cell>
          <cell r="L258">
            <v>7.7</v>
          </cell>
          <cell r="M258">
            <v>3.9</v>
          </cell>
          <cell r="N258">
            <v>3.9</v>
          </cell>
          <cell r="O258">
            <v>0.1</v>
          </cell>
          <cell r="P258">
            <v>1.9</v>
          </cell>
          <cell r="R258">
            <v>198</v>
          </cell>
          <cell r="S258">
            <v>0</v>
          </cell>
          <cell r="T258">
            <v>6.67</v>
          </cell>
          <cell r="V258">
            <v>34</v>
          </cell>
          <cell r="W258">
            <v>4.96</v>
          </cell>
          <cell r="X258">
            <v>0</v>
          </cell>
          <cell r="Y258">
            <v>0</v>
          </cell>
        </row>
        <row r="259">
          <cell r="B259" t="str">
            <v>WG 50/44,5/4/1,5</v>
          </cell>
          <cell r="C259">
            <v>80968</v>
          </cell>
          <cell r="D259">
            <v>2013</v>
          </cell>
          <cell r="E259">
            <v>89.1</v>
          </cell>
          <cell r="F259">
            <v>277</v>
          </cell>
          <cell r="G259">
            <v>156</v>
          </cell>
          <cell r="H259">
            <v>21</v>
          </cell>
          <cell r="I259">
            <v>75</v>
          </cell>
          <cell r="J259">
            <v>174</v>
          </cell>
          <cell r="K259">
            <v>334</v>
          </cell>
          <cell r="L259">
            <v>12.1</v>
          </cell>
          <cell r="M259">
            <v>12.8</v>
          </cell>
          <cell r="N259">
            <v>8.3000000000000007</v>
          </cell>
          <cell r="O259">
            <v>3.1</v>
          </cell>
          <cell r="P259">
            <v>3.7</v>
          </cell>
          <cell r="R259">
            <v>196</v>
          </cell>
          <cell r="S259">
            <v>0</v>
          </cell>
          <cell r="T259">
            <v>7.41</v>
          </cell>
          <cell r="W259">
            <v>12.96</v>
          </cell>
          <cell r="X259">
            <v>293</v>
          </cell>
          <cell r="Y259">
            <v>0</v>
          </cell>
        </row>
        <row r="260">
          <cell r="B260" t="str">
            <v>Ackerbohnen</v>
          </cell>
          <cell r="C260">
            <v>80970</v>
          </cell>
          <cell r="D260">
            <v>2012</v>
          </cell>
          <cell r="E260">
            <v>88.3</v>
          </cell>
          <cell r="F260">
            <v>274</v>
          </cell>
          <cell r="G260">
            <v>184</v>
          </cell>
          <cell r="H260">
            <v>14</v>
          </cell>
          <cell r="I260">
            <v>42</v>
          </cell>
          <cell r="J260">
            <v>213</v>
          </cell>
          <cell r="K260">
            <v>378</v>
          </cell>
          <cell r="L260">
            <v>8.3000000000000007</v>
          </cell>
          <cell r="M260">
            <v>15.9</v>
          </cell>
          <cell r="N260">
            <v>1.6</v>
          </cell>
          <cell r="O260">
            <v>0.3</v>
          </cell>
          <cell r="P260">
            <v>1.4</v>
          </cell>
          <cell r="R260">
            <v>189</v>
          </cell>
          <cell r="S260">
            <v>0</v>
          </cell>
          <cell r="T260">
            <v>8.49</v>
          </cell>
          <cell r="W260">
            <v>13.6</v>
          </cell>
          <cell r="X260">
            <v>292</v>
          </cell>
          <cell r="Y260">
            <v>0</v>
          </cell>
        </row>
        <row r="261">
          <cell r="B261" t="str">
            <v>RES</v>
          </cell>
          <cell r="C261">
            <v>80971</v>
          </cell>
          <cell r="D261">
            <v>2013</v>
          </cell>
          <cell r="E261">
            <v>89.2</v>
          </cell>
          <cell r="F261">
            <v>385</v>
          </cell>
          <cell r="G261">
            <v>164</v>
          </cell>
          <cell r="H261">
            <v>22</v>
          </cell>
          <cell r="I261">
            <v>79</v>
          </cell>
          <cell r="J261">
            <v>249</v>
          </cell>
          <cell r="K261">
            <v>358</v>
          </cell>
          <cell r="L261">
            <v>16.5</v>
          </cell>
          <cell r="M261">
            <v>16.399999999999999</v>
          </cell>
          <cell r="N261">
            <v>7.6</v>
          </cell>
          <cell r="O261">
            <v>1.1000000000000001</v>
          </cell>
          <cell r="P261">
            <v>4</v>
          </cell>
          <cell r="R261">
            <v>252</v>
          </cell>
          <cell r="S261">
            <v>0</v>
          </cell>
          <cell r="T261">
            <v>7.27</v>
          </cell>
          <cell r="W261">
            <v>21.28</v>
          </cell>
          <cell r="X261">
            <v>156</v>
          </cell>
          <cell r="Y261">
            <v>0</v>
          </cell>
        </row>
        <row r="262">
          <cell r="B262" t="str">
            <v>Heu, 2. S.</v>
          </cell>
          <cell r="C262">
            <v>80972</v>
          </cell>
          <cell r="D262">
            <v>2012</v>
          </cell>
          <cell r="E262">
            <v>91.1</v>
          </cell>
          <cell r="F262">
            <v>117</v>
          </cell>
          <cell r="G262">
            <v>355</v>
          </cell>
          <cell r="H262">
            <v>24</v>
          </cell>
          <cell r="I262">
            <v>92</v>
          </cell>
          <cell r="J262">
            <v>363</v>
          </cell>
          <cell r="K262">
            <v>559</v>
          </cell>
          <cell r="L262">
            <v>4.9000000000000004</v>
          </cell>
          <cell r="M262">
            <v>27.9</v>
          </cell>
          <cell r="N262">
            <v>4.5999999999999996</v>
          </cell>
          <cell r="O262">
            <v>1.2</v>
          </cell>
          <cell r="P262">
            <v>1.8</v>
          </cell>
          <cell r="R262">
            <v>124</v>
          </cell>
          <cell r="S262">
            <v>0</v>
          </cell>
          <cell r="T262">
            <v>5.36</v>
          </cell>
          <cell r="U262">
            <v>3.51</v>
          </cell>
          <cell r="W262">
            <v>-1.1200000000000001</v>
          </cell>
          <cell r="X262">
            <v>208</v>
          </cell>
          <cell r="Y262">
            <v>0</v>
          </cell>
        </row>
        <row r="263">
          <cell r="B263" t="str">
            <v>Stroh, Gerste</v>
          </cell>
          <cell r="C263">
            <v>80973</v>
          </cell>
          <cell r="D263">
            <v>2012</v>
          </cell>
          <cell r="E263">
            <v>90.9</v>
          </cell>
          <cell r="F263">
            <v>24</v>
          </cell>
          <cell r="G263">
            <v>523</v>
          </cell>
          <cell r="H263">
            <v>13</v>
          </cell>
          <cell r="I263">
            <v>67</v>
          </cell>
          <cell r="J263">
            <v>522</v>
          </cell>
          <cell r="K263">
            <v>816</v>
          </cell>
          <cell r="L263">
            <v>1</v>
          </cell>
          <cell r="M263">
            <v>18</v>
          </cell>
          <cell r="N263">
            <v>3.3</v>
          </cell>
          <cell r="O263">
            <v>0.3</v>
          </cell>
          <cell r="P263">
            <v>0.6</v>
          </cell>
          <cell r="R263">
            <v>71</v>
          </cell>
          <cell r="S263">
            <v>0</v>
          </cell>
          <cell r="T263">
            <v>3.69</v>
          </cell>
          <cell r="W263">
            <v>-7.52</v>
          </cell>
          <cell r="X263">
            <v>80</v>
          </cell>
          <cell r="Y263">
            <v>0</v>
          </cell>
        </row>
        <row r="264">
          <cell r="B264" t="str">
            <v>Silo 1</v>
          </cell>
          <cell r="C264">
            <v>80978</v>
          </cell>
          <cell r="D264">
            <v>2012</v>
          </cell>
          <cell r="E264">
            <v>43.1</v>
          </cell>
          <cell r="F264">
            <v>156</v>
          </cell>
          <cell r="G264">
            <v>317</v>
          </cell>
          <cell r="H264">
            <v>38</v>
          </cell>
          <cell r="I264">
            <v>138</v>
          </cell>
          <cell r="J264">
            <v>322</v>
          </cell>
          <cell r="K264">
            <v>461</v>
          </cell>
          <cell r="L264">
            <v>6.1</v>
          </cell>
          <cell r="M264">
            <v>42.3</v>
          </cell>
          <cell r="N264">
            <v>4.7</v>
          </cell>
          <cell r="O264">
            <v>0.6</v>
          </cell>
          <cell r="P264">
            <v>2.1</v>
          </cell>
          <cell r="R264">
            <v>131</v>
          </cell>
          <cell r="S264">
            <v>0</v>
          </cell>
          <cell r="T264">
            <v>5.88</v>
          </cell>
          <cell r="U264">
            <v>2.91</v>
          </cell>
          <cell r="V264">
            <v>54</v>
          </cell>
          <cell r="W264">
            <v>4</v>
          </cell>
          <cell r="X264">
            <v>207</v>
          </cell>
          <cell r="Y264">
            <v>0</v>
          </cell>
        </row>
        <row r="265">
          <cell r="B265" t="str">
            <v>Silo 6</v>
          </cell>
          <cell r="C265">
            <v>80979</v>
          </cell>
          <cell r="D265">
            <v>2011</v>
          </cell>
          <cell r="E265">
            <v>37.799999999999997</v>
          </cell>
          <cell r="F265">
            <v>81</v>
          </cell>
          <cell r="G265">
            <v>186</v>
          </cell>
          <cell r="H265">
            <v>39</v>
          </cell>
          <cell r="I265">
            <v>41</v>
          </cell>
          <cell r="J265">
            <v>210</v>
          </cell>
          <cell r="K265">
            <v>450</v>
          </cell>
          <cell r="L265">
            <v>3.4</v>
          </cell>
          <cell r="M265">
            <v>12.4</v>
          </cell>
          <cell r="N265">
            <v>1.9</v>
          </cell>
          <cell r="O265">
            <v>0.1</v>
          </cell>
          <cell r="P265">
            <v>1.1000000000000001</v>
          </cell>
          <cell r="R265">
            <v>140</v>
          </cell>
          <cell r="S265">
            <v>0</v>
          </cell>
          <cell r="T265">
            <v>7.13</v>
          </cell>
          <cell r="U265">
            <v>2.13</v>
          </cell>
          <cell r="V265">
            <v>10</v>
          </cell>
          <cell r="W265">
            <v>-9.44</v>
          </cell>
          <cell r="X265">
            <v>389</v>
          </cell>
          <cell r="Y265">
            <v>0</v>
          </cell>
        </row>
        <row r="266">
          <cell r="B266" t="str">
            <v>Pressschnitzel</v>
          </cell>
          <cell r="C266">
            <v>80980</v>
          </cell>
          <cell r="D266">
            <v>2012</v>
          </cell>
          <cell r="E266">
            <v>32.1</v>
          </cell>
          <cell r="F266">
            <v>81</v>
          </cell>
          <cell r="G266">
            <v>238</v>
          </cell>
          <cell r="H266">
            <v>4.9000000000000004</v>
          </cell>
          <cell r="I266">
            <v>103</v>
          </cell>
          <cell r="J266">
            <v>234</v>
          </cell>
          <cell r="K266">
            <v>519</v>
          </cell>
          <cell r="L266">
            <v>1.1000000000000001</v>
          </cell>
          <cell r="M266">
            <v>3.2</v>
          </cell>
          <cell r="N266">
            <v>10.3</v>
          </cell>
          <cell r="O266">
            <v>0.3</v>
          </cell>
          <cell r="P266">
            <v>2.1</v>
          </cell>
          <cell r="R266">
            <v>137</v>
          </cell>
          <cell r="S266">
            <v>0</v>
          </cell>
          <cell r="T266">
            <v>7.06</v>
          </cell>
          <cell r="V266">
            <v>37</v>
          </cell>
          <cell r="W266">
            <v>-8.9600000000000009</v>
          </cell>
          <cell r="X266">
            <v>292.10000000000002</v>
          </cell>
          <cell r="Y266">
            <v>0</v>
          </cell>
        </row>
        <row r="267">
          <cell r="B267" t="str">
            <v xml:space="preserve"> Treber</v>
          </cell>
          <cell r="C267">
            <v>80981</v>
          </cell>
          <cell r="D267">
            <v>2013</v>
          </cell>
          <cell r="E267">
            <v>23.4</v>
          </cell>
          <cell r="F267">
            <v>227</v>
          </cell>
          <cell r="G267">
            <v>282</v>
          </cell>
          <cell r="H267">
            <v>89</v>
          </cell>
          <cell r="I267">
            <v>48</v>
          </cell>
          <cell r="J267">
            <v>351</v>
          </cell>
          <cell r="K267">
            <v>649</v>
          </cell>
          <cell r="L267">
            <v>7.5</v>
          </cell>
          <cell r="M267">
            <v>1.8</v>
          </cell>
          <cell r="N267">
            <v>4.3</v>
          </cell>
          <cell r="O267">
            <v>0.1</v>
          </cell>
          <cell r="P267">
            <v>1.8</v>
          </cell>
          <cell r="R267">
            <v>197</v>
          </cell>
          <cell r="S267">
            <v>0</v>
          </cell>
          <cell r="T267">
            <v>6.66</v>
          </cell>
          <cell r="V267">
            <v>7</v>
          </cell>
          <cell r="W267">
            <v>4.8</v>
          </cell>
          <cell r="X267">
            <v>-13</v>
          </cell>
          <cell r="Y267">
            <v>0</v>
          </cell>
        </row>
        <row r="268">
          <cell r="B268" t="str">
            <v>WG 50/44,5/4/1,5</v>
          </cell>
          <cell r="C268">
            <v>80982</v>
          </cell>
          <cell r="D268">
            <v>2013</v>
          </cell>
          <cell r="E268">
            <v>89</v>
          </cell>
          <cell r="F268">
            <v>162</v>
          </cell>
          <cell r="G268">
            <v>208</v>
          </cell>
          <cell r="H268">
            <v>18</v>
          </cell>
          <cell r="I268">
            <v>85</v>
          </cell>
          <cell r="J268">
            <v>178</v>
          </cell>
          <cell r="K268">
            <v>319</v>
          </cell>
          <cell r="L268">
            <v>9.1</v>
          </cell>
          <cell r="M268">
            <v>6.7</v>
          </cell>
          <cell r="N268">
            <v>12.9</v>
          </cell>
          <cell r="O268">
            <v>7.3</v>
          </cell>
          <cell r="P268">
            <v>3.4</v>
          </cell>
          <cell r="R268">
            <v>167</v>
          </cell>
          <cell r="S268">
            <v>0</v>
          </cell>
          <cell r="T268">
            <v>7.82</v>
          </cell>
          <cell r="W268">
            <v>-0.8</v>
          </cell>
          <cell r="X268">
            <v>416</v>
          </cell>
          <cell r="Y268">
            <v>0</v>
          </cell>
        </row>
        <row r="269">
          <cell r="B269" t="str">
            <v>GB 40/54,5/4/1,5</v>
          </cell>
          <cell r="C269">
            <v>80983</v>
          </cell>
          <cell r="D269">
            <v>2013</v>
          </cell>
          <cell r="E269">
            <v>88.5</v>
          </cell>
          <cell r="F269">
            <v>234</v>
          </cell>
          <cell r="G269">
            <v>205</v>
          </cell>
          <cell r="H269">
            <v>16</v>
          </cell>
          <cell r="I269">
            <v>82</v>
          </cell>
          <cell r="J269">
            <v>165</v>
          </cell>
          <cell r="K269">
            <v>294</v>
          </cell>
          <cell r="L269">
            <v>12.1</v>
          </cell>
          <cell r="M269">
            <v>10.8</v>
          </cell>
          <cell r="N269">
            <v>9.9</v>
          </cell>
          <cell r="O269">
            <v>5</v>
          </cell>
          <cell r="P269">
            <v>2.9</v>
          </cell>
          <cell r="R269">
            <v>181</v>
          </cell>
          <cell r="S269">
            <v>0</v>
          </cell>
          <cell r="T269">
            <v>8.02</v>
          </cell>
          <cell r="W269">
            <v>8.48</v>
          </cell>
          <cell r="X269">
            <v>374</v>
          </cell>
          <cell r="Y269">
            <v>0</v>
          </cell>
        </row>
        <row r="270">
          <cell r="B270" t="str">
            <v>RES</v>
          </cell>
          <cell r="C270">
            <v>80984</v>
          </cell>
          <cell r="D270">
            <v>2013</v>
          </cell>
          <cell r="E270">
            <v>89</v>
          </cell>
          <cell r="F270">
            <v>382</v>
          </cell>
          <cell r="G270">
            <v>159</v>
          </cell>
          <cell r="H270">
            <v>23</v>
          </cell>
          <cell r="I270">
            <v>82</v>
          </cell>
          <cell r="J270">
            <v>250</v>
          </cell>
          <cell r="K270">
            <v>382</v>
          </cell>
          <cell r="L270">
            <v>16.5</v>
          </cell>
          <cell r="M270">
            <v>12.8</v>
          </cell>
          <cell r="N270">
            <v>8.6999999999999993</v>
          </cell>
          <cell r="O270">
            <v>1.2</v>
          </cell>
          <cell r="P270">
            <v>4.2</v>
          </cell>
          <cell r="R270">
            <v>251</v>
          </cell>
          <cell r="S270">
            <v>0</v>
          </cell>
          <cell r="T270">
            <v>7.26</v>
          </cell>
          <cell r="W270">
            <v>20.96</v>
          </cell>
          <cell r="X270">
            <v>131</v>
          </cell>
          <cell r="Y270">
            <v>0</v>
          </cell>
        </row>
        <row r="271">
          <cell r="B271" t="str">
            <v>Heu, 2. S.</v>
          </cell>
          <cell r="C271">
            <v>80985</v>
          </cell>
          <cell r="D271">
            <v>2012</v>
          </cell>
          <cell r="E271">
            <v>89.7</v>
          </cell>
          <cell r="F271">
            <v>117</v>
          </cell>
          <cell r="G271">
            <v>362</v>
          </cell>
          <cell r="H271">
            <v>27</v>
          </cell>
          <cell r="I271">
            <v>85</v>
          </cell>
          <cell r="J271">
            <v>374</v>
          </cell>
          <cell r="K271">
            <v>537</v>
          </cell>
          <cell r="L271">
            <v>4.5</v>
          </cell>
          <cell r="M271">
            <v>19.8</v>
          </cell>
          <cell r="N271">
            <v>5.6</v>
          </cell>
          <cell r="O271">
            <v>1.7</v>
          </cell>
          <cell r="P271">
            <v>2</v>
          </cell>
          <cell r="R271">
            <v>124</v>
          </cell>
          <cell r="S271">
            <v>0</v>
          </cell>
          <cell r="T271">
            <v>5.38</v>
          </cell>
          <cell r="U271">
            <v>3.37</v>
          </cell>
          <cell r="W271">
            <v>-1.1200000000000001</v>
          </cell>
          <cell r="X271">
            <v>234</v>
          </cell>
          <cell r="Y271">
            <v>0</v>
          </cell>
        </row>
        <row r="272">
          <cell r="B272" t="str">
            <v>Stroh, Gerste</v>
          </cell>
          <cell r="C272">
            <v>80986</v>
          </cell>
          <cell r="D272">
            <v>2012</v>
          </cell>
          <cell r="E272">
            <v>90.4</v>
          </cell>
          <cell r="F272">
            <v>32</v>
          </cell>
          <cell r="G272">
            <v>519</v>
          </cell>
          <cell r="H272">
            <v>15</v>
          </cell>
          <cell r="I272">
            <v>66</v>
          </cell>
          <cell r="J272">
            <v>524</v>
          </cell>
          <cell r="K272">
            <v>803</v>
          </cell>
          <cell r="L272">
            <v>2</v>
          </cell>
          <cell r="M272">
            <v>15.2</v>
          </cell>
          <cell r="N272">
            <v>4.0999999999999996</v>
          </cell>
          <cell r="O272">
            <v>0.2</v>
          </cell>
          <cell r="P272">
            <v>0.9</v>
          </cell>
          <cell r="R272">
            <v>75</v>
          </cell>
          <cell r="S272">
            <v>0</v>
          </cell>
          <cell r="T272">
            <v>3.71</v>
          </cell>
          <cell r="W272">
            <v>-6.88</v>
          </cell>
          <cell r="X272">
            <v>84</v>
          </cell>
          <cell r="Y272">
            <v>0</v>
          </cell>
        </row>
        <row r="273">
          <cell r="B273" t="str">
            <v>Ackerbohnen</v>
          </cell>
          <cell r="C273">
            <v>80987</v>
          </cell>
          <cell r="D273">
            <v>2012</v>
          </cell>
          <cell r="E273">
            <v>88.7</v>
          </cell>
          <cell r="F273">
            <v>274</v>
          </cell>
          <cell r="G273">
            <v>222</v>
          </cell>
          <cell r="H273">
            <v>17</v>
          </cell>
          <cell r="I273">
            <v>40</v>
          </cell>
          <cell r="J273">
            <v>234</v>
          </cell>
          <cell r="K273">
            <v>378</v>
          </cell>
          <cell r="L273">
            <v>8.1</v>
          </cell>
          <cell r="M273">
            <v>14.5</v>
          </cell>
          <cell r="N273">
            <v>1.7</v>
          </cell>
          <cell r="O273">
            <v>0.1</v>
          </cell>
          <cell r="P273">
            <v>1.4</v>
          </cell>
          <cell r="R273">
            <v>195</v>
          </cell>
          <cell r="S273">
            <v>0</v>
          </cell>
          <cell r="T273">
            <v>8.83</v>
          </cell>
          <cell r="W273">
            <v>12.64</v>
          </cell>
          <cell r="X273">
            <v>291</v>
          </cell>
          <cell r="Y273">
            <v>0</v>
          </cell>
        </row>
        <row r="274">
          <cell r="B274" t="str">
            <v>Silo 1</v>
          </cell>
          <cell r="C274">
            <v>80992</v>
          </cell>
          <cell r="D274">
            <v>2012</v>
          </cell>
          <cell r="E274">
            <v>43.2</v>
          </cell>
          <cell r="F274">
            <v>155</v>
          </cell>
          <cell r="G274">
            <v>317</v>
          </cell>
          <cell r="H274">
            <v>37</v>
          </cell>
          <cell r="I274">
            <v>134</v>
          </cell>
          <cell r="J274">
            <v>320</v>
          </cell>
          <cell r="K274">
            <v>473</v>
          </cell>
          <cell r="L274">
            <v>6.2</v>
          </cell>
          <cell r="M274">
            <v>37.700000000000003</v>
          </cell>
          <cell r="N274">
            <v>5.6</v>
          </cell>
          <cell r="O274">
            <v>1</v>
          </cell>
          <cell r="P274">
            <v>2</v>
          </cell>
          <cell r="R274">
            <v>134</v>
          </cell>
          <cell r="S274">
            <v>0</v>
          </cell>
          <cell r="T274">
            <v>6.08</v>
          </cell>
          <cell r="U274">
            <v>2.99</v>
          </cell>
          <cell r="V274">
            <v>96</v>
          </cell>
          <cell r="W274">
            <v>3.36</v>
          </cell>
          <cell r="X274">
            <v>201</v>
          </cell>
          <cell r="Y274">
            <v>0</v>
          </cell>
        </row>
        <row r="275">
          <cell r="B275" t="str">
            <v>Silo 6</v>
          </cell>
          <cell r="C275">
            <v>80993</v>
          </cell>
          <cell r="D275">
            <v>2011</v>
          </cell>
          <cell r="E275">
            <v>33</v>
          </cell>
          <cell r="F275">
            <v>55</v>
          </cell>
          <cell r="G275">
            <v>185</v>
          </cell>
          <cell r="H275">
            <v>40</v>
          </cell>
          <cell r="I275">
            <v>29</v>
          </cell>
          <cell r="J275">
            <v>190</v>
          </cell>
          <cell r="K275">
            <v>435</v>
          </cell>
          <cell r="L275">
            <v>1.9</v>
          </cell>
          <cell r="M275">
            <v>5.9</v>
          </cell>
          <cell r="N275">
            <v>1.4</v>
          </cell>
          <cell r="O275">
            <v>0.1</v>
          </cell>
          <cell r="P275">
            <v>5.3</v>
          </cell>
          <cell r="R275">
            <v>136</v>
          </cell>
          <cell r="S275">
            <v>0</v>
          </cell>
          <cell r="T275">
            <v>7.3</v>
          </cell>
          <cell r="U275">
            <v>2.04</v>
          </cell>
          <cell r="V275">
            <v>2</v>
          </cell>
          <cell r="W275">
            <v>-12.96</v>
          </cell>
          <cell r="X275">
            <v>441</v>
          </cell>
          <cell r="Y275">
            <v>0</v>
          </cell>
        </row>
        <row r="276">
          <cell r="B276" t="str">
            <v>Pressschnitzel</v>
          </cell>
          <cell r="C276">
            <v>80994</v>
          </cell>
          <cell r="D276">
            <v>2012</v>
          </cell>
          <cell r="E276">
            <v>32</v>
          </cell>
          <cell r="F276">
            <v>88</v>
          </cell>
          <cell r="G276">
            <v>235</v>
          </cell>
          <cell r="H276">
            <v>6</v>
          </cell>
          <cell r="I276">
            <v>110</v>
          </cell>
          <cell r="J276">
            <v>228</v>
          </cell>
          <cell r="K276">
            <v>503</v>
          </cell>
          <cell r="L276">
            <v>1.4</v>
          </cell>
          <cell r="M276">
            <v>4.9000000000000004</v>
          </cell>
          <cell r="N276">
            <v>9.8000000000000007</v>
          </cell>
          <cell r="O276">
            <v>0.3</v>
          </cell>
          <cell r="P276">
            <v>1.8</v>
          </cell>
          <cell r="R276">
            <v>139</v>
          </cell>
          <cell r="S276">
            <v>0</v>
          </cell>
          <cell r="T276">
            <v>7.02</v>
          </cell>
          <cell r="V276">
            <v>40</v>
          </cell>
          <cell r="W276">
            <v>-8.16</v>
          </cell>
          <cell r="X276">
            <v>293</v>
          </cell>
          <cell r="Y276">
            <v>0</v>
          </cell>
        </row>
        <row r="277">
          <cell r="B277" t="str">
            <v>Treber</v>
          </cell>
          <cell r="C277">
            <v>80995</v>
          </cell>
          <cell r="D277">
            <v>2013</v>
          </cell>
          <cell r="E277">
            <v>25.1</v>
          </cell>
          <cell r="F277">
            <v>234</v>
          </cell>
          <cell r="G277">
            <v>241</v>
          </cell>
          <cell r="H277">
            <v>83</v>
          </cell>
          <cell r="I277">
            <v>47</v>
          </cell>
          <cell r="J277">
            <v>346</v>
          </cell>
          <cell r="K277">
            <v>616</v>
          </cell>
          <cell r="L277">
            <v>8.5</v>
          </cell>
          <cell r="M277">
            <v>3.8</v>
          </cell>
          <cell r="N277">
            <v>3.4</v>
          </cell>
          <cell r="O277">
            <v>0.1</v>
          </cell>
          <cell r="P277">
            <v>2</v>
          </cell>
          <cell r="R277">
            <v>199</v>
          </cell>
          <cell r="S277">
            <v>0</v>
          </cell>
          <cell r="T277">
            <v>6.64</v>
          </cell>
          <cell r="V277">
            <v>2</v>
          </cell>
          <cell r="W277">
            <v>5.6</v>
          </cell>
          <cell r="X277">
            <v>20</v>
          </cell>
          <cell r="Y277">
            <v>0</v>
          </cell>
        </row>
        <row r="278">
          <cell r="B278" t="str">
            <v>Ackerbohnen</v>
          </cell>
          <cell r="C278">
            <v>80996</v>
          </cell>
          <cell r="D278">
            <v>2012</v>
          </cell>
          <cell r="E278">
            <v>89.3</v>
          </cell>
          <cell r="F278">
            <v>270</v>
          </cell>
          <cell r="G278">
            <v>223</v>
          </cell>
          <cell r="H278">
            <v>14</v>
          </cell>
          <cell r="I278">
            <v>41</v>
          </cell>
          <cell r="J278">
            <v>224</v>
          </cell>
          <cell r="K278">
            <v>384</v>
          </cell>
          <cell r="L278">
            <v>8.1999999999999993</v>
          </cell>
          <cell r="M278">
            <v>14.3</v>
          </cell>
          <cell r="N278">
            <v>1.9</v>
          </cell>
          <cell r="O278">
            <v>0.6</v>
          </cell>
          <cell r="P278">
            <v>1.3</v>
          </cell>
          <cell r="R278">
            <v>188</v>
          </cell>
          <cell r="S278">
            <v>0</v>
          </cell>
          <cell r="T278">
            <v>8.4499999999999993</v>
          </cell>
          <cell r="W278">
            <v>13.12</v>
          </cell>
          <cell r="X278">
            <v>291</v>
          </cell>
          <cell r="Y278">
            <v>0</v>
          </cell>
        </row>
        <row r="279">
          <cell r="B279" t="str">
            <v>Stroh, Gerste</v>
          </cell>
          <cell r="C279">
            <v>80997</v>
          </cell>
          <cell r="D279">
            <v>2012</v>
          </cell>
          <cell r="E279">
            <v>91.5</v>
          </cell>
          <cell r="F279">
            <v>38</v>
          </cell>
          <cell r="G279">
            <v>480</v>
          </cell>
          <cell r="H279">
            <v>15</v>
          </cell>
          <cell r="I279">
            <v>73</v>
          </cell>
          <cell r="J279">
            <v>532</v>
          </cell>
          <cell r="K279">
            <v>802</v>
          </cell>
          <cell r="L279">
            <v>2.1</v>
          </cell>
          <cell r="M279">
            <v>19.2</v>
          </cell>
          <cell r="N279">
            <v>5.4</v>
          </cell>
          <cell r="O279">
            <v>0.8</v>
          </cell>
          <cell r="P279">
            <v>0.5</v>
          </cell>
          <cell r="R279">
            <v>77</v>
          </cell>
          <cell r="S279">
            <v>0</v>
          </cell>
          <cell r="T279">
            <v>3.71</v>
          </cell>
          <cell r="W279">
            <v>-6.24</v>
          </cell>
          <cell r="X279">
            <v>72</v>
          </cell>
          <cell r="Y279">
            <v>0</v>
          </cell>
        </row>
        <row r="280">
          <cell r="B280" t="str">
            <v>Heu, 2. S.</v>
          </cell>
          <cell r="C280">
            <v>80998</v>
          </cell>
          <cell r="D280">
            <v>2012</v>
          </cell>
          <cell r="E280">
            <v>91.5</v>
          </cell>
          <cell r="F280">
            <v>151</v>
          </cell>
          <cell r="G280">
            <v>357</v>
          </cell>
          <cell r="H280">
            <v>36</v>
          </cell>
          <cell r="I280">
            <v>94</v>
          </cell>
          <cell r="J280">
            <v>362</v>
          </cell>
          <cell r="K280">
            <v>519</v>
          </cell>
          <cell r="L280">
            <v>5.2</v>
          </cell>
          <cell r="M280">
            <v>23.8</v>
          </cell>
          <cell r="N280">
            <v>5.2</v>
          </cell>
          <cell r="O280">
            <v>3.8</v>
          </cell>
          <cell r="P280">
            <v>2.2999999999999998</v>
          </cell>
          <cell r="R280">
            <v>140</v>
          </cell>
          <cell r="S280">
            <v>0</v>
          </cell>
          <cell r="T280">
            <v>5.83</v>
          </cell>
          <cell r="U280">
            <v>3.26</v>
          </cell>
          <cell r="W280">
            <v>1.76</v>
          </cell>
          <cell r="X280">
            <v>200</v>
          </cell>
          <cell r="Y280">
            <v>0</v>
          </cell>
        </row>
        <row r="281">
          <cell r="B281" t="str">
            <v>RES</v>
          </cell>
          <cell r="C281">
            <v>80999</v>
          </cell>
          <cell r="D281">
            <v>2013</v>
          </cell>
          <cell r="E281">
            <v>89.1</v>
          </cell>
          <cell r="F281">
            <v>388</v>
          </cell>
          <cell r="G281">
            <v>176</v>
          </cell>
          <cell r="H281">
            <v>24</v>
          </cell>
          <cell r="I281">
            <v>73</v>
          </cell>
          <cell r="J281">
            <v>238</v>
          </cell>
          <cell r="K281">
            <v>363</v>
          </cell>
          <cell r="L281">
            <v>16.5</v>
          </cell>
          <cell r="M281">
            <v>14.1</v>
          </cell>
          <cell r="N281">
            <v>9</v>
          </cell>
          <cell r="O281">
            <v>1.3</v>
          </cell>
          <cell r="P281">
            <v>4.9000000000000004</v>
          </cell>
          <cell r="R281">
            <v>255</v>
          </cell>
          <cell r="S281">
            <v>0</v>
          </cell>
          <cell r="T281">
            <v>7.32</v>
          </cell>
          <cell r="W281">
            <v>21.28</v>
          </cell>
          <cell r="X281">
            <v>152</v>
          </cell>
          <cell r="Y281">
            <v>0</v>
          </cell>
        </row>
        <row r="282">
          <cell r="B282" t="str">
            <v>WG 50/44,5/4/1,5</v>
          </cell>
          <cell r="C282">
            <v>81000</v>
          </cell>
          <cell r="D282">
            <v>2013</v>
          </cell>
          <cell r="E282">
            <v>89.6</v>
          </cell>
          <cell r="F282">
            <v>270</v>
          </cell>
          <cell r="G282">
            <v>161</v>
          </cell>
          <cell r="H282">
            <v>21</v>
          </cell>
          <cell r="I282">
            <v>86</v>
          </cell>
          <cell r="J282">
            <v>149</v>
          </cell>
          <cell r="K282">
            <v>307</v>
          </cell>
          <cell r="L282">
            <v>12.8</v>
          </cell>
          <cell r="M282">
            <v>10.4</v>
          </cell>
          <cell r="N282">
            <v>12.9</v>
          </cell>
          <cell r="O282">
            <v>4.5</v>
          </cell>
          <cell r="P282">
            <v>4.7</v>
          </cell>
          <cell r="R282">
            <v>193</v>
          </cell>
          <cell r="S282">
            <v>0</v>
          </cell>
          <cell r="T282">
            <v>7.35</v>
          </cell>
          <cell r="W282">
            <v>12.32</v>
          </cell>
          <cell r="X282">
            <v>316</v>
          </cell>
          <cell r="Y282">
            <v>0</v>
          </cell>
        </row>
        <row r="283">
          <cell r="B283" t="str">
            <v>GB 40/54,5/4/1,5</v>
          </cell>
          <cell r="C283">
            <v>81001</v>
          </cell>
          <cell r="D283">
            <v>2013</v>
          </cell>
          <cell r="E283" t="str">
            <v>89.8</v>
          </cell>
          <cell r="F283">
            <v>256</v>
          </cell>
          <cell r="G283">
            <v>232</v>
          </cell>
          <cell r="H283">
            <v>19</v>
          </cell>
          <cell r="I283">
            <v>85</v>
          </cell>
          <cell r="J283">
            <v>163</v>
          </cell>
          <cell r="K283">
            <v>337</v>
          </cell>
          <cell r="L283">
            <v>11.6</v>
          </cell>
          <cell r="M283">
            <v>11</v>
          </cell>
          <cell r="N283">
            <v>11.2</v>
          </cell>
          <cell r="O283">
            <v>6</v>
          </cell>
          <cell r="P283">
            <v>3.5</v>
          </cell>
          <cell r="R283">
            <v>182</v>
          </cell>
          <cell r="S283">
            <v>0</v>
          </cell>
          <cell r="T283">
            <v>7.45</v>
          </cell>
          <cell r="W283">
            <v>11.84</v>
          </cell>
          <cell r="X283">
            <v>303</v>
          </cell>
          <cell r="Y283">
            <v>0</v>
          </cell>
        </row>
        <row r="284">
          <cell r="B284" t="str">
            <v>Treber</v>
          </cell>
          <cell r="C284">
            <v>81002</v>
          </cell>
          <cell r="D284">
            <v>2013</v>
          </cell>
          <cell r="E284">
            <v>21.4</v>
          </cell>
          <cell r="F284">
            <v>226</v>
          </cell>
          <cell r="G284">
            <v>250</v>
          </cell>
          <cell r="H284">
            <v>87</v>
          </cell>
          <cell r="I284">
            <v>49</v>
          </cell>
          <cell r="J284">
            <v>335</v>
          </cell>
          <cell r="K284">
            <v>623</v>
          </cell>
          <cell r="L284">
            <v>7.9</v>
          </cell>
          <cell r="M284">
            <v>0.8</v>
          </cell>
          <cell r="N284">
            <v>3.8</v>
          </cell>
          <cell r="O284">
            <v>0.1</v>
          </cell>
          <cell r="P284">
            <v>2</v>
          </cell>
          <cell r="R284">
            <v>196</v>
          </cell>
          <cell r="S284">
            <v>0</v>
          </cell>
          <cell r="T284">
            <v>6.65</v>
          </cell>
          <cell r="W284">
            <v>4.8</v>
          </cell>
          <cell r="X284">
            <v>15</v>
          </cell>
          <cell r="Y284">
            <v>0</v>
          </cell>
        </row>
        <row r="285">
          <cell r="B285" t="str">
            <v>Heu, 2. S.</v>
          </cell>
          <cell r="C285">
            <v>81003</v>
          </cell>
          <cell r="D285">
            <v>2012</v>
          </cell>
          <cell r="E285">
            <v>90.4</v>
          </cell>
          <cell r="F285">
            <v>127</v>
          </cell>
          <cell r="G285">
            <v>338</v>
          </cell>
          <cell r="H285">
            <v>28</v>
          </cell>
          <cell r="I285">
            <v>69</v>
          </cell>
          <cell r="J285">
            <v>350</v>
          </cell>
          <cell r="K285">
            <v>575</v>
          </cell>
          <cell r="L285">
            <v>4.0999999999999996</v>
          </cell>
          <cell r="M285">
            <v>17.899999999999999</v>
          </cell>
          <cell r="N285">
            <v>5.9</v>
          </cell>
          <cell r="O285">
            <v>2.1</v>
          </cell>
          <cell r="P285">
            <v>2.5</v>
          </cell>
          <cell r="R285">
            <v>128</v>
          </cell>
          <cell r="S285">
            <v>0</v>
          </cell>
          <cell r="T285">
            <v>5.45</v>
          </cell>
          <cell r="U285">
            <v>3.6</v>
          </cell>
          <cell r="W285">
            <v>-0.16</v>
          </cell>
          <cell r="X285">
            <v>201</v>
          </cell>
          <cell r="Y285">
            <v>0</v>
          </cell>
        </row>
        <row r="286">
          <cell r="B286" t="str">
            <v>Heu, 2. S.</v>
          </cell>
          <cell r="C286">
            <v>81004</v>
          </cell>
          <cell r="D286">
            <v>2012</v>
          </cell>
          <cell r="E286">
            <v>90.3</v>
          </cell>
          <cell r="F286">
            <v>127</v>
          </cell>
          <cell r="G286">
            <v>319</v>
          </cell>
          <cell r="H286">
            <v>26</v>
          </cell>
          <cell r="I286">
            <v>77</v>
          </cell>
          <cell r="J286">
            <v>336</v>
          </cell>
          <cell r="K286">
            <v>566</v>
          </cell>
          <cell r="L286">
            <v>4.4000000000000004</v>
          </cell>
          <cell r="M286">
            <v>19.600000000000001</v>
          </cell>
          <cell r="N286">
            <v>5.9</v>
          </cell>
          <cell r="O286">
            <v>2.1</v>
          </cell>
          <cell r="P286">
            <v>2.5</v>
          </cell>
          <cell r="R286">
            <v>131</v>
          </cell>
          <cell r="S286">
            <v>0</v>
          </cell>
          <cell r="T286">
            <v>5.62</v>
          </cell>
          <cell r="U286">
            <v>3.55</v>
          </cell>
          <cell r="W286">
            <v>-0.64</v>
          </cell>
          <cell r="X286">
            <v>204</v>
          </cell>
          <cell r="Y286">
            <v>0</v>
          </cell>
        </row>
        <row r="287">
          <cell r="B287" t="str">
            <v>WGMR 14/16/16/21</v>
          </cell>
          <cell r="C287">
            <v>81005</v>
          </cell>
          <cell r="D287">
            <v>2013</v>
          </cell>
          <cell r="E287">
            <v>89.6</v>
          </cell>
          <cell r="F287">
            <v>191</v>
          </cell>
          <cell r="G287">
            <v>183</v>
          </cell>
          <cell r="H287">
            <v>35</v>
          </cell>
          <cell r="I287">
            <v>92</v>
          </cell>
          <cell r="J287">
            <v>144</v>
          </cell>
          <cell r="K287">
            <v>411</v>
          </cell>
          <cell r="L287">
            <v>9.8000000000000007</v>
          </cell>
          <cell r="M287">
            <v>10</v>
          </cell>
          <cell r="N287">
            <v>13.7</v>
          </cell>
          <cell r="O287">
            <v>3.7</v>
          </cell>
          <cell r="P287">
            <v>4</v>
          </cell>
          <cell r="R287">
            <v>180</v>
          </cell>
          <cell r="S287">
            <v>0</v>
          </cell>
          <cell r="T287">
            <v>7.63</v>
          </cell>
          <cell r="W287">
            <v>1.76</v>
          </cell>
          <cell r="X287">
            <v>271</v>
          </cell>
          <cell r="Y287">
            <v>0</v>
          </cell>
        </row>
        <row r="288">
          <cell r="B288" t="str">
            <v>WGMR 14/16/16/21</v>
          </cell>
          <cell r="C288">
            <v>81006</v>
          </cell>
          <cell r="D288">
            <v>2013</v>
          </cell>
          <cell r="E288">
            <v>89.5</v>
          </cell>
          <cell r="F288">
            <v>213</v>
          </cell>
          <cell r="G288">
            <v>199</v>
          </cell>
          <cell r="H288">
            <v>42</v>
          </cell>
          <cell r="I288">
            <v>84</v>
          </cell>
          <cell r="J288">
            <v>152</v>
          </cell>
          <cell r="K288">
            <v>357</v>
          </cell>
          <cell r="L288">
            <v>10.6</v>
          </cell>
          <cell r="M288">
            <v>10.7</v>
          </cell>
          <cell r="N288">
            <v>12.3</v>
          </cell>
          <cell r="O288">
            <v>3.5</v>
          </cell>
          <cell r="P288">
            <v>3.4</v>
          </cell>
          <cell r="R288">
            <v>189</v>
          </cell>
          <cell r="S288">
            <v>0</v>
          </cell>
          <cell r="T288">
            <v>7.63</v>
          </cell>
          <cell r="W288">
            <v>3.84</v>
          </cell>
          <cell r="X288">
            <v>304</v>
          </cell>
          <cell r="Y288">
            <v>0</v>
          </cell>
        </row>
        <row r="289">
          <cell r="B289" t="str">
            <v>Treber</v>
          </cell>
          <cell r="C289">
            <v>81007</v>
          </cell>
          <cell r="D289">
            <v>2013</v>
          </cell>
          <cell r="E289">
            <v>21.8</v>
          </cell>
          <cell r="F289">
            <v>257</v>
          </cell>
          <cell r="G289">
            <v>255</v>
          </cell>
          <cell r="H289">
            <v>86</v>
          </cell>
          <cell r="I289">
            <v>46</v>
          </cell>
          <cell r="J289">
            <v>316</v>
          </cell>
          <cell r="K289">
            <v>611</v>
          </cell>
          <cell r="L289">
            <v>11.5</v>
          </cell>
          <cell r="M289">
            <v>2.7</v>
          </cell>
          <cell r="N289">
            <v>5.9</v>
          </cell>
          <cell r="O289">
            <v>0.2</v>
          </cell>
          <cell r="P289">
            <v>2.9</v>
          </cell>
          <cell r="R289">
            <v>210</v>
          </cell>
          <cell r="S289">
            <v>0</v>
          </cell>
          <cell r="T289">
            <v>6.69</v>
          </cell>
          <cell r="W289">
            <v>7.52</v>
          </cell>
          <cell r="X289">
            <v>0</v>
          </cell>
          <cell r="Y289">
            <v>0</v>
          </cell>
        </row>
        <row r="290">
          <cell r="B290" t="str">
            <v>Heu, 2. S.</v>
          </cell>
          <cell r="C290">
            <v>81008</v>
          </cell>
          <cell r="D290">
            <v>2012</v>
          </cell>
          <cell r="E290">
            <v>89.2</v>
          </cell>
          <cell r="F290">
            <v>131</v>
          </cell>
          <cell r="G290">
            <v>244</v>
          </cell>
          <cell r="H290">
            <v>25</v>
          </cell>
          <cell r="I290">
            <v>77</v>
          </cell>
          <cell r="J290">
            <v>334</v>
          </cell>
          <cell r="K290">
            <v>577</v>
          </cell>
          <cell r="L290">
            <v>4.3</v>
          </cell>
          <cell r="M290">
            <v>17.899999999999999</v>
          </cell>
          <cell r="N290">
            <v>5.6</v>
          </cell>
          <cell r="O290">
            <v>2.6</v>
          </cell>
          <cell r="P290">
            <v>2.4</v>
          </cell>
          <cell r="R290">
            <v>130</v>
          </cell>
          <cell r="S290">
            <v>0</v>
          </cell>
          <cell r="T290">
            <v>5.54</v>
          </cell>
          <cell r="U290">
            <v>3.61</v>
          </cell>
          <cell r="W290">
            <v>0.16</v>
          </cell>
          <cell r="X290">
            <v>190</v>
          </cell>
          <cell r="Y290">
            <v>0</v>
          </cell>
        </row>
        <row r="291">
          <cell r="B291" t="str">
            <v>WGMR 14/16/16/21</v>
          </cell>
          <cell r="C291">
            <v>81009</v>
          </cell>
          <cell r="D291">
            <v>2012</v>
          </cell>
          <cell r="E291">
            <v>88.9</v>
          </cell>
          <cell r="F291">
            <v>210</v>
          </cell>
          <cell r="G291">
            <v>179</v>
          </cell>
          <cell r="H291">
            <v>39</v>
          </cell>
          <cell r="I291">
            <v>78</v>
          </cell>
          <cell r="J291">
            <v>151</v>
          </cell>
          <cell r="K291">
            <v>323</v>
          </cell>
          <cell r="L291">
            <v>10.5</v>
          </cell>
          <cell r="M291">
            <v>11.2</v>
          </cell>
          <cell r="N291">
            <v>10.199999999999999</v>
          </cell>
          <cell r="O291">
            <v>3.3</v>
          </cell>
          <cell r="P291">
            <v>2.8</v>
          </cell>
          <cell r="R291">
            <v>188</v>
          </cell>
          <cell r="S291">
            <v>0</v>
          </cell>
          <cell r="T291">
            <v>7.56</v>
          </cell>
          <cell r="W291">
            <v>3.52</v>
          </cell>
          <cell r="X291">
            <v>350</v>
          </cell>
          <cell r="Y291">
            <v>0</v>
          </cell>
        </row>
        <row r="292">
          <cell r="B292" t="str">
            <v>*RB Rohrschwingel 1.Schnitt</v>
          </cell>
          <cell r="C292">
            <v>81010</v>
          </cell>
          <cell r="D292">
            <v>2013</v>
          </cell>
          <cell r="E292">
            <v>24.5</v>
          </cell>
          <cell r="F292">
            <v>202</v>
          </cell>
          <cell r="G292">
            <v>334</v>
          </cell>
          <cell r="H292">
            <v>27</v>
          </cell>
          <cell r="I292">
            <v>112</v>
          </cell>
          <cell r="J292">
            <v>301</v>
          </cell>
          <cell r="K292">
            <v>552</v>
          </cell>
          <cell r="L292">
            <v>5.8</v>
          </cell>
          <cell r="M292">
            <v>41.4</v>
          </cell>
          <cell r="N292">
            <v>3.6</v>
          </cell>
          <cell r="O292">
            <v>0.8</v>
          </cell>
          <cell r="P292">
            <v>2.2000000000000002</v>
          </cell>
          <cell r="R292">
            <v>145</v>
          </cell>
          <cell r="S292">
            <v>0</v>
          </cell>
          <cell r="T292">
            <v>6.25</v>
          </cell>
          <cell r="U292">
            <v>3.46</v>
          </cell>
          <cell r="W292">
            <v>9.1199999999999992</v>
          </cell>
          <cell r="X292">
            <v>107</v>
          </cell>
          <cell r="Y292">
            <v>0</v>
          </cell>
        </row>
        <row r="293">
          <cell r="B293" t="str">
            <v>*RB Dt. Weidelgras 1. Schnitt</v>
          </cell>
          <cell r="C293">
            <v>81011</v>
          </cell>
          <cell r="D293">
            <v>2013</v>
          </cell>
          <cell r="E293">
            <v>23.8</v>
          </cell>
          <cell r="F293">
            <v>185</v>
          </cell>
          <cell r="G293">
            <v>340</v>
          </cell>
          <cell r="H293">
            <v>29</v>
          </cell>
          <cell r="I293">
            <v>108</v>
          </cell>
          <cell r="J293">
            <v>295</v>
          </cell>
          <cell r="K293">
            <v>506</v>
          </cell>
          <cell r="L293">
            <v>6.8</v>
          </cell>
          <cell r="M293">
            <v>39.5</v>
          </cell>
          <cell r="N293">
            <v>4.4000000000000004</v>
          </cell>
          <cell r="O293">
            <v>0.5</v>
          </cell>
          <cell r="P293">
            <v>1.4</v>
          </cell>
          <cell r="R293">
            <v>149</v>
          </cell>
          <cell r="S293">
            <v>0</v>
          </cell>
          <cell r="T293">
            <v>6.71</v>
          </cell>
          <cell r="U293">
            <v>3.18</v>
          </cell>
          <cell r="W293">
            <v>5.76</v>
          </cell>
          <cell r="X293">
            <v>172</v>
          </cell>
          <cell r="Y293">
            <v>0</v>
          </cell>
        </row>
        <row r="294">
          <cell r="B294" t="str">
            <v>Silo 6</v>
          </cell>
          <cell r="C294">
            <v>81012</v>
          </cell>
          <cell r="D294">
            <v>2011</v>
          </cell>
          <cell r="E294">
            <v>38.6</v>
          </cell>
          <cell r="F294">
            <v>84</v>
          </cell>
          <cell r="G294">
            <v>179</v>
          </cell>
          <cell r="H294">
            <v>41</v>
          </cell>
          <cell r="I294">
            <v>38</v>
          </cell>
          <cell r="J294">
            <v>201</v>
          </cell>
          <cell r="K294">
            <v>415</v>
          </cell>
          <cell r="L294">
            <v>3.5</v>
          </cell>
          <cell r="M294">
            <v>11.1</v>
          </cell>
          <cell r="N294">
            <v>1.9</v>
          </cell>
          <cell r="O294">
            <v>0.1</v>
          </cell>
          <cell r="P294">
            <v>1</v>
          </cell>
          <cell r="R294">
            <v>144</v>
          </cell>
          <cell r="S294">
            <v>0</v>
          </cell>
          <cell r="T294">
            <v>7.38</v>
          </cell>
          <cell r="U294">
            <v>1.92</v>
          </cell>
          <cell r="V294">
            <v>6</v>
          </cell>
          <cell r="W294">
            <v>-9.6</v>
          </cell>
          <cell r="X294">
            <v>422</v>
          </cell>
          <cell r="Y294">
            <v>0</v>
          </cell>
        </row>
        <row r="295">
          <cell r="B295" t="str">
            <v>Silo 1</v>
          </cell>
          <cell r="C295">
            <v>81013</v>
          </cell>
          <cell r="D295">
            <v>2012</v>
          </cell>
          <cell r="E295">
            <v>43</v>
          </cell>
          <cell r="F295">
            <v>143</v>
          </cell>
          <cell r="G295">
            <v>318</v>
          </cell>
          <cell r="H295">
            <v>29</v>
          </cell>
          <cell r="I295">
            <v>166</v>
          </cell>
          <cell r="J295">
            <v>313</v>
          </cell>
          <cell r="K295">
            <v>469</v>
          </cell>
          <cell r="L295">
            <v>5.4</v>
          </cell>
          <cell r="M295">
            <v>30.6</v>
          </cell>
          <cell r="N295">
            <v>6.6</v>
          </cell>
          <cell r="O295">
            <v>1</v>
          </cell>
          <cell r="P295">
            <v>2</v>
          </cell>
          <cell r="R295">
            <v>122</v>
          </cell>
          <cell r="S295">
            <v>0</v>
          </cell>
          <cell r="T295">
            <v>5.43</v>
          </cell>
          <cell r="U295">
            <v>2.96</v>
          </cell>
          <cell r="V295">
            <v>57</v>
          </cell>
          <cell r="W295">
            <v>3.36</v>
          </cell>
          <cell r="X295">
            <v>193</v>
          </cell>
          <cell r="Y295">
            <v>0</v>
          </cell>
        </row>
        <row r="296">
          <cell r="B296" t="str">
            <v>Treber</v>
          </cell>
          <cell r="C296">
            <v>81014</v>
          </cell>
          <cell r="D296">
            <v>2013</v>
          </cell>
          <cell r="E296">
            <v>22.2</v>
          </cell>
          <cell r="F296">
            <v>233</v>
          </cell>
          <cell r="G296">
            <v>253</v>
          </cell>
          <cell r="H296">
            <v>89</v>
          </cell>
          <cell r="I296">
            <v>42</v>
          </cell>
          <cell r="J296">
            <v>317</v>
          </cell>
          <cell r="K296">
            <v>595</v>
          </cell>
          <cell r="L296">
            <v>7.7</v>
          </cell>
          <cell r="M296">
            <v>3.9</v>
          </cell>
          <cell r="N296">
            <v>3.6</v>
          </cell>
          <cell r="O296">
            <v>0.2</v>
          </cell>
          <cell r="P296">
            <v>1.6</v>
          </cell>
          <cell r="R296">
            <v>200</v>
          </cell>
          <cell r="S296">
            <v>0</v>
          </cell>
          <cell r="T296">
            <v>6.71</v>
          </cell>
          <cell r="W296">
            <v>5.28</v>
          </cell>
          <cell r="X296">
            <v>41</v>
          </cell>
          <cell r="Y296">
            <v>0</v>
          </cell>
        </row>
        <row r="297">
          <cell r="B297" t="str">
            <v>Heu, 2. S.</v>
          </cell>
          <cell r="C297">
            <v>81015</v>
          </cell>
          <cell r="D297">
            <v>2012</v>
          </cell>
          <cell r="E297">
            <v>89.4</v>
          </cell>
          <cell r="F297">
            <v>146</v>
          </cell>
          <cell r="G297">
            <v>324</v>
          </cell>
          <cell r="H297">
            <v>26</v>
          </cell>
          <cell r="I297">
            <v>81</v>
          </cell>
          <cell r="J297">
            <v>323</v>
          </cell>
          <cell r="K297">
            <v>537</v>
          </cell>
          <cell r="L297">
            <v>4.7</v>
          </cell>
          <cell r="M297">
            <v>20</v>
          </cell>
          <cell r="N297">
            <v>6</v>
          </cell>
          <cell r="O297">
            <v>2.8</v>
          </cell>
          <cell r="P297">
            <v>2.5</v>
          </cell>
          <cell r="R297">
            <v>139</v>
          </cell>
          <cell r="S297">
            <v>0</v>
          </cell>
          <cell r="T297">
            <v>5.84</v>
          </cell>
          <cell r="U297">
            <v>3.37</v>
          </cell>
          <cell r="W297">
            <v>1.1200000000000001</v>
          </cell>
          <cell r="X297">
            <v>210</v>
          </cell>
          <cell r="Y297">
            <v>0</v>
          </cell>
        </row>
        <row r="298">
          <cell r="B298" t="str">
            <v>Stroh, Gerste</v>
          </cell>
          <cell r="C298">
            <v>81016</v>
          </cell>
          <cell r="D298">
            <v>2012</v>
          </cell>
          <cell r="E298">
            <v>89.9</v>
          </cell>
          <cell r="F298">
            <v>43</v>
          </cell>
          <cell r="G298">
            <v>477</v>
          </cell>
          <cell r="H298">
            <v>16</v>
          </cell>
          <cell r="I298">
            <v>60</v>
          </cell>
          <cell r="J298">
            <v>534</v>
          </cell>
          <cell r="K298">
            <v>795</v>
          </cell>
          <cell r="L298">
            <v>1.6</v>
          </cell>
          <cell r="M298">
            <v>14.5</v>
          </cell>
          <cell r="N298">
            <v>5.9</v>
          </cell>
          <cell r="O298">
            <v>0.4</v>
          </cell>
          <cell r="P298">
            <v>0.8</v>
          </cell>
          <cell r="R298">
            <v>80</v>
          </cell>
          <cell r="S298">
            <v>0</v>
          </cell>
          <cell r="T298">
            <v>3.77</v>
          </cell>
          <cell r="W298">
            <v>-5.92</v>
          </cell>
          <cell r="X298">
            <v>86</v>
          </cell>
          <cell r="Y298">
            <v>0</v>
          </cell>
        </row>
        <row r="299">
          <cell r="B299" t="str">
            <v>RES</v>
          </cell>
          <cell r="C299">
            <v>81017</v>
          </cell>
          <cell r="D299">
            <v>2013</v>
          </cell>
          <cell r="E299">
            <v>89.3</v>
          </cell>
          <cell r="F299">
            <v>398</v>
          </cell>
          <cell r="G299">
            <v>169</v>
          </cell>
          <cell r="H299">
            <v>22</v>
          </cell>
          <cell r="I299">
            <v>76</v>
          </cell>
          <cell r="J299">
            <v>260</v>
          </cell>
          <cell r="K299">
            <v>375</v>
          </cell>
          <cell r="L299">
            <v>16.3</v>
          </cell>
          <cell r="M299">
            <v>13.7</v>
          </cell>
          <cell r="N299">
            <v>7.4</v>
          </cell>
          <cell r="O299">
            <v>0.9</v>
          </cell>
          <cell r="P299">
            <v>5.3</v>
          </cell>
          <cell r="R299">
            <v>258</v>
          </cell>
          <cell r="S299">
            <v>0</v>
          </cell>
          <cell r="T299">
            <v>7.31</v>
          </cell>
          <cell r="W299">
            <v>22.4</v>
          </cell>
          <cell r="X299">
            <v>129</v>
          </cell>
          <cell r="Y299">
            <v>0</v>
          </cell>
        </row>
        <row r="300">
          <cell r="B300" t="str">
            <v>Treber</v>
          </cell>
          <cell r="C300">
            <v>81018</v>
          </cell>
          <cell r="D300">
            <v>2013</v>
          </cell>
          <cell r="E300">
            <v>20.5</v>
          </cell>
          <cell r="F300">
            <v>266</v>
          </cell>
          <cell r="G300">
            <v>270</v>
          </cell>
          <cell r="H300">
            <v>89</v>
          </cell>
          <cell r="I300">
            <v>54</v>
          </cell>
          <cell r="J300">
            <v>334</v>
          </cell>
          <cell r="K300">
            <v>589</v>
          </cell>
          <cell r="L300">
            <v>11.8</v>
          </cell>
          <cell r="M300">
            <v>0.9</v>
          </cell>
          <cell r="N300">
            <v>6.1</v>
          </cell>
          <cell r="O300">
            <v>0.2</v>
          </cell>
          <cell r="P300">
            <v>2.9</v>
          </cell>
          <cell r="R300">
            <v>213</v>
          </cell>
          <cell r="S300">
            <v>0</v>
          </cell>
          <cell r="T300">
            <v>6.67</v>
          </cell>
          <cell r="V300">
            <v>7</v>
          </cell>
          <cell r="W300">
            <v>8.48</v>
          </cell>
          <cell r="X300">
            <v>2</v>
          </cell>
          <cell r="Y300">
            <v>0</v>
          </cell>
        </row>
        <row r="301">
          <cell r="B301" t="str">
            <v>WGB 43/43/7/5/2</v>
          </cell>
          <cell r="C301">
            <v>81018</v>
          </cell>
          <cell r="D301">
            <v>2013</v>
          </cell>
          <cell r="E301">
            <v>89.3</v>
          </cell>
          <cell r="F301">
            <v>147</v>
          </cell>
          <cell r="G301">
            <v>220</v>
          </cell>
          <cell r="H301">
            <v>16</v>
          </cell>
          <cell r="I301">
            <v>69</v>
          </cell>
          <cell r="J301">
            <v>126</v>
          </cell>
          <cell r="K301">
            <v>250</v>
          </cell>
          <cell r="L301">
            <v>7.2</v>
          </cell>
          <cell r="M301">
            <v>7.2</v>
          </cell>
          <cell r="N301">
            <v>7.4</v>
          </cell>
          <cell r="O301">
            <v>8.6999999999999993</v>
          </cell>
          <cell r="P301">
            <v>2</v>
          </cell>
          <cell r="R301">
            <v>163</v>
          </cell>
          <cell r="S301">
            <v>0</v>
          </cell>
          <cell r="T301">
            <v>7.88</v>
          </cell>
          <cell r="W301">
            <v>-2.56</v>
          </cell>
          <cell r="X301">
            <v>518</v>
          </cell>
          <cell r="Y301">
            <v>0</v>
          </cell>
        </row>
        <row r="302">
          <cell r="B302" t="str">
            <v>Treber</v>
          </cell>
          <cell r="C302">
            <v>81020</v>
          </cell>
          <cell r="D302">
            <v>2013</v>
          </cell>
          <cell r="E302">
            <v>23.6</v>
          </cell>
          <cell r="F302">
            <v>239</v>
          </cell>
          <cell r="G302">
            <v>251</v>
          </cell>
          <cell r="H302">
            <v>94</v>
          </cell>
          <cell r="I302">
            <v>46</v>
          </cell>
          <cell r="J302">
            <v>333</v>
          </cell>
          <cell r="K302">
            <v>591</v>
          </cell>
          <cell r="L302">
            <v>9.1</v>
          </cell>
          <cell r="M302">
            <v>1.8</v>
          </cell>
          <cell r="N302">
            <v>4.5</v>
          </cell>
          <cell r="O302">
            <v>0.1</v>
          </cell>
          <cell r="P302">
            <v>1.9</v>
          </cell>
          <cell r="R302">
            <v>203</v>
          </cell>
          <cell r="S302">
            <v>0</v>
          </cell>
          <cell r="T302">
            <v>6.74</v>
          </cell>
          <cell r="U302">
            <v>1.05</v>
          </cell>
          <cell r="W302">
            <v>5.76</v>
          </cell>
          <cell r="X302">
            <v>30</v>
          </cell>
          <cell r="Y302">
            <v>0</v>
          </cell>
        </row>
        <row r="303">
          <cell r="B303" t="str">
            <v>RES</v>
          </cell>
          <cell r="C303">
            <v>81021</v>
          </cell>
          <cell r="D303">
            <v>2013</v>
          </cell>
          <cell r="E303">
            <v>88.4</v>
          </cell>
          <cell r="F303">
            <v>392</v>
          </cell>
          <cell r="G303">
            <v>171</v>
          </cell>
          <cell r="H303">
            <v>14</v>
          </cell>
          <cell r="I303">
            <v>79</v>
          </cell>
          <cell r="J303">
            <v>258</v>
          </cell>
          <cell r="K303">
            <v>362</v>
          </cell>
          <cell r="L303">
            <v>16.2</v>
          </cell>
          <cell r="M303">
            <v>13.9</v>
          </cell>
          <cell r="N303">
            <v>7.7</v>
          </cell>
          <cell r="O303">
            <v>0.1</v>
          </cell>
          <cell r="P303">
            <v>4.5</v>
          </cell>
          <cell r="R303">
            <v>254</v>
          </cell>
          <cell r="S303">
            <v>0</v>
          </cell>
          <cell r="T303">
            <v>7.22</v>
          </cell>
          <cell r="W303">
            <v>22.08</v>
          </cell>
          <cell r="X303">
            <v>153</v>
          </cell>
          <cell r="Y303">
            <v>0</v>
          </cell>
        </row>
        <row r="304">
          <cell r="B304" t="str">
            <v>Silo 8</v>
          </cell>
          <cell r="C304">
            <v>81026</v>
          </cell>
          <cell r="D304">
            <v>2012</v>
          </cell>
          <cell r="E304">
            <v>38.799999999999997</v>
          </cell>
          <cell r="F304">
            <v>83</v>
          </cell>
          <cell r="G304">
            <v>225</v>
          </cell>
          <cell r="H304">
            <v>40</v>
          </cell>
          <cell r="I304">
            <v>42</v>
          </cell>
          <cell r="J304">
            <v>215</v>
          </cell>
          <cell r="K304">
            <v>378</v>
          </cell>
          <cell r="L304">
            <v>3.1</v>
          </cell>
          <cell r="M304">
            <v>10.1</v>
          </cell>
          <cell r="N304">
            <v>2.2000000000000002</v>
          </cell>
          <cell r="O304">
            <v>0.5</v>
          </cell>
          <cell r="P304">
            <v>1.1000000000000001</v>
          </cell>
          <cell r="R304">
            <v>141</v>
          </cell>
          <cell r="S304">
            <v>0</v>
          </cell>
          <cell r="T304">
            <v>7.21</v>
          </cell>
          <cell r="U304">
            <v>1.69</v>
          </cell>
          <cell r="V304">
            <v>0</v>
          </cell>
          <cell r="W304">
            <v>-9.2799999999999994</v>
          </cell>
          <cell r="X304">
            <v>457</v>
          </cell>
          <cell r="Y304">
            <v>0</v>
          </cell>
        </row>
        <row r="305">
          <cell r="B305" t="str">
            <v>Silo 1</v>
          </cell>
          <cell r="C305">
            <v>81027</v>
          </cell>
          <cell r="D305">
            <v>2012</v>
          </cell>
          <cell r="E305">
            <v>41.8</v>
          </cell>
          <cell r="F305">
            <v>151</v>
          </cell>
          <cell r="G305">
            <v>333</v>
          </cell>
          <cell r="H305">
            <v>34</v>
          </cell>
          <cell r="I305">
            <v>130</v>
          </cell>
          <cell r="J305">
            <v>314</v>
          </cell>
          <cell r="K305">
            <v>481</v>
          </cell>
          <cell r="L305">
            <v>6.5</v>
          </cell>
          <cell r="M305">
            <v>42.6</v>
          </cell>
          <cell r="N305">
            <v>5.6</v>
          </cell>
          <cell r="O305">
            <v>0.5</v>
          </cell>
          <cell r="P305">
            <v>2</v>
          </cell>
          <cell r="R305">
            <v>130</v>
          </cell>
          <cell r="S305">
            <v>0</v>
          </cell>
          <cell r="T305">
            <v>5.83</v>
          </cell>
          <cell r="U305">
            <v>3.04</v>
          </cell>
          <cell r="V305">
            <v>29</v>
          </cell>
          <cell r="W305">
            <v>3.36</v>
          </cell>
          <cell r="X305">
            <v>204</v>
          </cell>
          <cell r="Y305">
            <v>0</v>
          </cell>
        </row>
        <row r="306">
          <cell r="B306" t="str">
            <v>Treber</v>
          </cell>
          <cell r="C306">
            <v>81028</v>
          </cell>
          <cell r="D306">
            <v>2013</v>
          </cell>
          <cell r="E306">
            <v>21.5</v>
          </cell>
          <cell r="F306">
            <v>265</v>
          </cell>
          <cell r="G306">
            <v>254</v>
          </cell>
          <cell r="H306">
            <v>89</v>
          </cell>
          <cell r="I306">
            <v>43</v>
          </cell>
          <cell r="J306">
            <v>330</v>
          </cell>
          <cell r="K306">
            <v>588</v>
          </cell>
          <cell r="L306">
            <v>8.8000000000000007</v>
          </cell>
          <cell r="M306">
            <v>1.7</v>
          </cell>
          <cell r="N306">
            <v>3.9</v>
          </cell>
          <cell r="O306">
            <v>0.1</v>
          </cell>
          <cell r="P306">
            <v>1.9</v>
          </cell>
          <cell r="R306">
            <v>214</v>
          </cell>
          <cell r="S306">
            <v>0</v>
          </cell>
          <cell r="T306">
            <v>6.75</v>
          </cell>
          <cell r="U306">
            <v>1.05</v>
          </cell>
          <cell r="V306">
            <v>3</v>
          </cell>
          <cell r="W306">
            <v>8.16</v>
          </cell>
          <cell r="X306">
            <v>15</v>
          </cell>
          <cell r="Y306">
            <v>0</v>
          </cell>
        </row>
        <row r="307">
          <cell r="B307" t="str">
            <v>Heu, 2. S.</v>
          </cell>
          <cell r="C307">
            <v>81029</v>
          </cell>
          <cell r="D307">
            <v>2012</v>
          </cell>
          <cell r="E307">
            <v>89.1</v>
          </cell>
          <cell r="F307">
            <v>146</v>
          </cell>
          <cell r="G307">
            <v>309</v>
          </cell>
          <cell r="H307">
            <v>22</v>
          </cell>
          <cell r="I307">
            <v>85</v>
          </cell>
          <cell r="J307">
            <v>316</v>
          </cell>
          <cell r="K307">
            <v>535</v>
          </cell>
          <cell r="L307">
            <v>4.8</v>
          </cell>
          <cell r="M307">
            <v>22</v>
          </cell>
          <cell r="N307">
            <v>4.3</v>
          </cell>
          <cell r="O307">
            <v>3.7</v>
          </cell>
          <cell r="P307">
            <v>2</v>
          </cell>
          <cell r="R307">
            <v>139</v>
          </cell>
          <cell r="S307">
            <v>0</v>
          </cell>
          <cell r="T307">
            <v>5.88</v>
          </cell>
          <cell r="U307">
            <v>3.36</v>
          </cell>
          <cell r="W307">
            <v>1.1200000000000001</v>
          </cell>
          <cell r="X307">
            <v>212</v>
          </cell>
          <cell r="Y307">
            <v>0</v>
          </cell>
        </row>
        <row r="308">
          <cell r="B308" t="str">
            <v>Stroh, Gerste</v>
          </cell>
          <cell r="C308">
            <v>81030</v>
          </cell>
          <cell r="D308">
            <v>2012</v>
          </cell>
          <cell r="E308">
            <v>89</v>
          </cell>
          <cell r="F308">
            <v>29</v>
          </cell>
          <cell r="G308">
            <v>523</v>
          </cell>
          <cell r="H308">
            <v>11</v>
          </cell>
          <cell r="I308">
            <v>52</v>
          </cell>
          <cell r="J308">
            <v>561</v>
          </cell>
          <cell r="K308">
            <v>837</v>
          </cell>
          <cell r="L308">
            <v>0.8</v>
          </cell>
          <cell r="M308">
            <v>16.5</v>
          </cell>
          <cell r="N308">
            <v>3.6</v>
          </cell>
          <cell r="O308">
            <v>0.6</v>
          </cell>
          <cell r="P308">
            <v>0.7</v>
          </cell>
          <cell r="R308">
            <v>73</v>
          </cell>
          <cell r="S308">
            <v>0</v>
          </cell>
          <cell r="T308">
            <v>3.75</v>
          </cell>
          <cell r="W308">
            <v>-7.04</v>
          </cell>
          <cell r="X308">
            <v>71</v>
          </cell>
          <cell r="Y308">
            <v>0</v>
          </cell>
        </row>
        <row r="309">
          <cell r="B309" t="str">
            <v>RES</v>
          </cell>
          <cell r="C309">
            <v>81031</v>
          </cell>
          <cell r="D309">
            <v>2012</v>
          </cell>
          <cell r="E309">
            <v>89</v>
          </cell>
          <cell r="F309">
            <v>390</v>
          </cell>
          <cell r="G309">
            <v>175</v>
          </cell>
          <cell r="H309">
            <v>28</v>
          </cell>
          <cell r="I309">
            <v>83</v>
          </cell>
          <cell r="J309">
            <v>243</v>
          </cell>
          <cell r="K309">
            <v>347</v>
          </cell>
          <cell r="L309">
            <v>16</v>
          </cell>
          <cell r="M309">
            <v>14.5</v>
          </cell>
          <cell r="N309">
            <v>7</v>
          </cell>
          <cell r="O309">
            <v>1.1000000000000001</v>
          </cell>
          <cell r="P309">
            <v>4.7</v>
          </cell>
          <cell r="R309">
            <v>255</v>
          </cell>
          <cell r="S309">
            <v>0</v>
          </cell>
          <cell r="T309">
            <v>7.29</v>
          </cell>
          <cell r="W309">
            <v>21.6</v>
          </cell>
          <cell r="X309">
            <v>152</v>
          </cell>
          <cell r="Y309">
            <v>0</v>
          </cell>
        </row>
        <row r="310">
          <cell r="B310" t="str">
            <v>WGB 43/43/7/5/2</v>
          </cell>
          <cell r="C310">
            <v>81032</v>
          </cell>
          <cell r="D310">
            <v>2013</v>
          </cell>
          <cell r="E310">
            <v>89.1</v>
          </cell>
          <cell r="F310">
            <v>132</v>
          </cell>
          <cell r="G310">
            <v>229</v>
          </cell>
          <cell r="H310">
            <v>17</v>
          </cell>
          <cell r="I310">
            <v>58</v>
          </cell>
          <cell r="J310">
            <v>117</v>
          </cell>
          <cell r="K310">
            <v>406</v>
          </cell>
          <cell r="L310">
            <v>6.4</v>
          </cell>
          <cell r="M310">
            <v>7</v>
          </cell>
          <cell r="N310">
            <v>4.7</v>
          </cell>
          <cell r="O310">
            <v>6.2</v>
          </cell>
          <cell r="P310">
            <v>1.8</v>
          </cell>
          <cell r="R310">
            <v>162</v>
          </cell>
          <cell r="S310">
            <v>0</v>
          </cell>
          <cell r="T310">
            <v>8.02</v>
          </cell>
          <cell r="W310">
            <v>-4.8</v>
          </cell>
          <cell r="X310">
            <v>387</v>
          </cell>
          <cell r="Y310">
            <v>0</v>
          </cell>
        </row>
        <row r="311">
          <cell r="B311" t="str">
            <v>Treber</v>
          </cell>
          <cell r="C311">
            <v>81037</v>
          </cell>
          <cell r="D311">
            <v>2013</v>
          </cell>
          <cell r="E311">
            <v>21.8</v>
          </cell>
          <cell r="F311">
            <v>212</v>
          </cell>
          <cell r="G311">
            <v>268</v>
          </cell>
          <cell r="H311">
            <v>79</v>
          </cell>
          <cell r="I311">
            <v>45</v>
          </cell>
          <cell r="J311">
            <v>323</v>
          </cell>
          <cell r="K311">
            <v>603</v>
          </cell>
          <cell r="L311">
            <v>8.4</v>
          </cell>
          <cell r="M311">
            <v>2.1</v>
          </cell>
          <cell r="N311">
            <v>5.0999999999999996</v>
          </cell>
          <cell r="O311">
            <v>0.3</v>
          </cell>
          <cell r="P311">
            <v>1.9</v>
          </cell>
          <cell r="R311">
            <v>190</v>
          </cell>
          <cell r="S311">
            <v>0</v>
          </cell>
          <cell r="T311">
            <v>6.57</v>
          </cell>
          <cell r="W311">
            <v>3.52</v>
          </cell>
          <cell r="X311">
            <v>61</v>
          </cell>
          <cell r="Y311">
            <v>0</v>
          </cell>
        </row>
        <row r="312">
          <cell r="B312" t="str">
            <v>RB Rohrschwingel 2.Schnitt</v>
          </cell>
          <cell r="C312">
            <v>81038</v>
          </cell>
          <cell r="D312">
            <v>2013</v>
          </cell>
          <cell r="E312">
            <v>59.4</v>
          </cell>
          <cell r="F312">
            <v>185</v>
          </cell>
          <cell r="G312">
            <v>326</v>
          </cell>
          <cell r="H312">
            <v>19</v>
          </cell>
          <cell r="I312">
            <v>121</v>
          </cell>
          <cell r="J312">
            <v>300</v>
          </cell>
          <cell r="K312">
            <v>486</v>
          </cell>
          <cell r="L312">
            <v>6</v>
          </cell>
          <cell r="M312">
            <v>43.3</v>
          </cell>
          <cell r="N312">
            <v>4.0999999999999996</v>
          </cell>
          <cell r="O312">
            <v>0.5</v>
          </cell>
          <cell r="P312">
            <v>2.5</v>
          </cell>
          <cell r="R312">
            <v>138</v>
          </cell>
          <cell r="S312">
            <v>0</v>
          </cell>
          <cell r="T312">
            <v>6.01</v>
          </cell>
          <cell r="U312">
            <v>3.07</v>
          </cell>
          <cell r="W312">
            <v>7.52</v>
          </cell>
          <cell r="X312">
            <v>189</v>
          </cell>
          <cell r="Y312">
            <v>0</v>
          </cell>
        </row>
        <row r="313">
          <cell r="B313" t="str">
            <v xml:space="preserve">RB Dt. Weidelgras 2.Schnitt </v>
          </cell>
          <cell r="C313">
            <v>81039</v>
          </cell>
          <cell r="D313">
            <v>2013</v>
          </cell>
          <cell r="E313">
            <v>45.5</v>
          </cell>
          <cell r="F313">
            <v>156</v>
          </cell>
          <cell r="G313">
            <v>314</v>
          </cell>
          <cell r="H313">
            <v>23</v>
          </cell>
          <cell r="I313">
            <v>99</v>
          </cell>
          <cell r="J313">
            <v>287</v>
          </cell>
          <cell r="K313">
            <v>479</v>
          </cell>
          <cell r="L313">
            <v>6.2</v>
          </cell>
          <cell r="M313">
            <v>35.1</v>
          </cell>
          <cell r="N313">
            <v>4.4000000000000004</v>
          </cell>
          <cell r="O313">
            <v>0.7</v>
          </cell>
          <cell r="P313">
            <v>1.3</v>
          </cell>
          <cell r="R313">
            <v>144</v>
          </cell>
          <cell r="S313">
            <v>0</v>
          </cell>
          <cell r="T313">
            <v>6.65</v>
          </cell>
          <cell r="U313">
            <v>3.02</v>
          </cell>
          <cell r="W313">
            <v>1.92</v>
          </cell>
          <cell r="X313">
            <v>243</v>
          </cell>
          <cell r="Y313">
            <v>0</v>
          </cell>
        </row>
        <row r="314">
          <cell r="B314" t="str">
            <v>Silo 8</v>
          </cell>
          <cell r="C314">
            <v>81040</v>
          </cell>
          <cell r="D314">
            <v>2012</v>
          </cell>
          <cell r="E314">
            <v>38.799999999999997</v>
          </cell>
          <cell r="F314">
            <v>94</v>
          </cell>
          <cell r="G314">
            <v>229</v>
          </cell>
          <cell r="H314">
            <v>44</v>
          </cell>
          <cell r="I314">
            <v>39</v>
          </cell>
          <cell r="J314">
            <v>209</v>
          </cell>
          <cell r="K314">
            <v>363</v>
          </cell>
          <cell r="L314">
            <v>3.5</v>
          </cell>
          <cell r="M314">
            <v>10.8</v>
          </cell>
          <cell r="N314">
            <v>2.2000000000000002</v>
          </cell>
          <cell r="O314">
            <v>0.1</v>
          </cell>
          <cell r="P314">
            <v>1.2</v>
          </cell>
          <cell r="R314">
            <v>147</v>
          </cell>
          <cell r="S314">
            <v>0</v>
          </cell>
          <cell r="T314">
            <v>7.41</v>
          </cell>
          <cell r="U314">
            <v>1.61</v>
          </cell>
          <cell r="V314">
            <v>3</v>
          </cell>
          <cell r="W314">
            <v>-8.48</v>
          </cell>
          <cell r="X314">
            <v>460</v>
          </cell>
          <cell r="Y314">
            <v>0</v>
          </cell>
        </row>
        <row r="315">
          <cell r="B315" t="str">
            <v>Silo 7</v>
          </cell>
          <cell r="C315">
            <v>81041</v>
          </cell>
          <cell r="D315">
            <v>2012</v>
          </cell>
          <cell r="E315">
            <v>31</v>
          </cell>
          <cell r="F315">
            <v>102</v>
          </cell>
          <cell r="G315">
            <v>332</v>
          </cell>
          <cell r="H315">
            <v>23</v>
          </cell>
          <cell r="I315">
            <v>90</v>
          </cell>
          <cell r="J315">
            <v>344</v>
          </cell>
          <cell r="K315">
            <v>544</v>
          </cell>
          <cell r="L315">
            <v>4.2</v>
          </cell>
          <cell r="M315">
            <v>24.1</v>
          </cell>
          <cell r="N315">
            <v>6.2</v>
          </cell>
          <cell r="O315">
            <v>1</v>
          </cell>
          <cell r="P315">
            <v>1.7</v>
          </cell>
          <cell r="R315">
            <v>114</v>
          </cell>
          <cell r="S315">
            <v>0</v>
          </cell>
          <cell r="T315">
            <v>5.27</v>
          </cell>
          <cell r="U315">
            <v>3.42</v>
          </cell>
          <cell r="V315">
            <v>1</v>
          </cell>
          <cell r="W315">
            <v>-1.92</v>
          </cell>
          <cell r="X315">
            <v>241</v>
          </cell>
          <cell r="Y315">
            <v>0</v>
          </cell>
        </row>
        <row r="316">
          <cell r="B316" t="str">
            <v>Treber</v>
          </cell>
          <cell r="C316">
            <v>81042</v>
          </cell>
          <cell r="D316">
            <v>2013</v>
          </cell>
          <cell r="E316">
            <v>21.3</v>
          </cell>
          <cell r="F316">
            <v>283</v>
          </cell>
          <cell r="G316">
            <v>246</v>
          </cell>
          <cell r="H316">
            <v>103</v>
          </cell>
          <cell r="I316">
            <v>52</v>
          </cell>
          <cell r="J316">
            <v>329</v>
          </cell>
          <cell r="K316">
            <v>562</v>
          </cell>
          <cell r="L316">
            <v>10.6</v>
          </cell>
          <cell r="M316">
            <v>1</v>
          </cell>
          <cell r="N316">
            <v>5.8</v>
          </cell>
          <cell r="O316">
            <v>0.2</v>
          </cell>
          <cell r="P316">
            <v>2.8</v>
          </cell>
          <cell r="R316">
            <v>223</v>
          </cell>
          <cell r="S316">
            <v>0</v>
          </cell>
          <cell r="T316">
            <v>6.86</v>
          </cell>
          <cell r="V316">
            <v>2</v>
          </cell>
          <cell r="W316">
            <v>9.6</v>
          </cell>
          <cell r="X316">
            <v>0</v>
          </cell>
          <cell r="Y316">
            <v>0</v>
          </cell>
        </row>
        <row r="317">
          <cell r="B317" t="str">
            <v>Heu, 2. S.</v>
          </cell>
          <cell r="C317">
            <v>81043</v>
          </cell>
          <cell r="D317">
            <v>2012</v>
          </cell>
          <cell r="E317">
            <v>90.8</v>
          </cell>
          <cell r="F317">
            <v>129</v>
          </cell>
          <cell r="G317">
            <v>366</v>
          </cell>
          <cell r="H317">
            <v>16</v>
          </cell>
          <cell r="I317">
            <v>81</v>
          </cell>
          <cell r="J317">
            <v>335</v>
          </cell>
          <cell r="K317">
            <v>546</v>
          </cell>
          <cell r="L317">
            <v>4.4000000000000004</v>
          </cell>
          <cell r="M317">
            <v>22.5</v>
          </cell>
          <cell r="N317">
            <v>4.2</v>
          </cell>
          <cell r="O317">
            <v>3.3</v>
          </cell>
          <cell r="P317">
            <v>2.1</v>
          </cell>
          <cell r="R317">
            <v>129</v>
          </cell>
          <cell r="S317">
            <v>0</v>
          </cell>
          <cell r="T317">
            <v>5.49</v>
          </cell>
          <cell r="U317">
            <v>3.43</v>
          </cell>
          <cell r="W317">
            <v>0</v>
          </cell>
          <cell r="X317">
            <v>228</v>
          </cell>
          <cell r="Y317">
            <v>0</v>
          </cell>
        </row>
        <row r="318">
          <cell r="B318" t="str">
            <v>Stroh, Gerste</v>
          </cell>
          <cell r="C318">
            <v>81044</v>
          </cell>
          <cell r="D318">
            <v>2012</v>
          </cell>
          <cell r="E318">
            <v>91.2</v>
          </cell>
          <cell r="F318">
            <v>29</v>
          </cell>
          <cell r="G318">
            <v>521</v>
          </cell>
          <cell r="H318">
            <v>11</v>
          </cell>
          <cell r="I318">
            <v>45</v>
          </cell>
          <cell r="J318">
            <v>553</v>
          </cell>
          <cell r="K318">
            <v>844</v>
          </cell>
          <cell r="L318">
            <v>0.7</v>
          </cell>
          <cell r="M318">
            <v>15.7</v>
          </cell>
          <cell r="N318">
            <v>2.5</v>
          </cell>
          <cell r="O318">
            <v>0.2</v>
          </cell>
          <cell r="P318">
            <v>0.3</v>
          </cell>
          <cell r="R318">
            <v>74</v>
          </cell>
          <cell r="S318">
            <v>0</v>
          </cell>
          <cell r="T318">
            <v>3.78</v>
          </cell>
          <cell r="W318">
            <v>-7.2</v>
          </cell>
          <cell r="X318">
            <v>71</v>
          </cell>
          <cell r="Y318">
            <v>0</v>
          </cell>
        </row>
        <row r="319">
          <cell r="B319" t="str">
            <v>RES</v>
          </cell>
          <cell r="C319">
            <v>81045</v>
          </cell>
          <cell r="D319">
            <v>2013</v>
          </cell>
          <cell r="E319">
            <v>89.3</v>
          </cell>
          <cell r="F319">
            <v>396</v>
          </cell>
          <cell r="G319">
            <v>165</v>
          </cell>
          <cell r="H319">
            <v>24</v>
          </cell>
          <cell r="I319">
            <v>78</v>
          </cell>
          <cell r="J319">
            <v>241</v>
          </cell>
          <cell r="K319">
            <v>322</v>
          </cell>
          <cell r="L319">
            <v>16.2</v>
          </cell>
          <cell r="M319">
            <v>14.3</v>
          </cell>
          <cell r="N319">
            <v>8</v>
          </cell>
          <cell r="O319">
            <v>1</v>
          </cell>
          <cell r="P319">
            <v>5.4</v>
          </cell>
          <cell r="R319">
            <v>257</v>
          </cell>
          <cell r="S319">
            <v>0</v>
          </cell>
          <cell r="T319">
            <v>7.31</v>
          </cell>
          <cell r="W319">
            <v>22.24</v>
          </cell>
          <cell r="X319">
            <v>180</v>
          </cell>
          <cell r="Y319">
            <v>0</v>
          </cell>
        </row>
        <row r="320">
          <cell r="B320" t="str">
            <v>WGB 60/26/7/5/2</v>
          </cell>
          <cell r="C320">
            <v>81046</v>
          </cell>
          <cell r="D320">
            <v>2013</v>
          </cell>
          <cell r="E320">
            <v>90</v>
          </cell>
          <cell r="F320">
            <v>131</v>
          </cell>
          <cell r="G320">
            <v>210</v>
          </cell>
          <cell r="H320">
            <v>15</v>
          </cell>
          <cell r="I320">
            <v>71</v>
          </cell>
          <cell r="J320">
            <v>90</v>
          </cell>
          <cell r="K320">
            <v>368</v>
          </cell>
          <cell r="L320">
            <v>7.1</v>
          </cell>
          <cell r="M320">
            <v>5.9</v>
          </cell>
          <cell r="N320">
            <v>8.4</v>
          </cell>
          <cell r="O320">
            <v>9.6</v>
          </cell>
          <cell r="P320">
            <v>2.2000000000000002</v>
          </cell>
          <cell r="R320">
            <v>161</v>
          </cell>
          <cell r="S320">
            <v>0</v>
          </cell>
          <cell r="T320">
            <v>8.0399999999999991</v>
          </cell>
          <cell r="W320">
            <v>-4.8</v>
          </cell>
          <cell r="X320">
            <v>415</v>
          </cell>
          <cell r="Y320">
            <v>0</v>
          </cell>
        </row>
        <row r="321">
          <cell r="B321" t="str">
            <v>Silo 8</v>
          </cell>
          <cell r="C321">
            <v>81057</v>
          </cell>
          <cell r="D321">
            <v>2012</v>
          </cell>
          <cell r="E321">
            <v>38.6</v>
          </cell>
          <cell r="F321">
            <v>76</v>
          </cell>
          <cell r="G321">
            <v>191</v>
          </cell>
          <cell r="H321">
            <v>39</v>
          </cell>
          <cell r="I321">
            <v>34</v>
          </cell>
          <cell r="J321">
            <v>203</v>
          </cell>
          <cell r="K321">
            <v>389</v>
          </cell>
          <cell r="L321">
            <v>2.8</v>
          </cell>
          <cell r="M321">
            <v>9.8000000000000007</v>
          </cell>
          <cell r="N321">
            <v>1.7</v>
          </cell>
          <cell r="O321">
            <v>0.1</v>
          </cell>
          <cell r="P321">
            <v>0.9</v>
          </cell>
          <cell r="R321">
            <v>140</v>
          </cell>
          <cell r="S321">
            <v>0</v>
          </cell>
          <cell r="T321">
            <v>7.2</v>
          </cell>
          <cell r="U321">
            <v>1.76</v>
          </cell>
          <cell r="V321">
            <v>4</v>
          </cell>
          <cell r="W321">
            <v>-10.24</v>
          </cell>
          <cell r="X321">
            <v>462</v>
          </cell>
          <cell r="Y321">
            <v>0</v>
          </cell>
        </row>
        <row r="322">
          <cell r="B322" t="str">
            <v>Silo 7</v>
          </cell>
          <cell r="C322">
            <v>81058</v>
          </cell>
          <cell r="D322">
            <v>2012</v>
          </cell>
          <cell r="E322">
            <v>30.5</v>
          </cell>
          <cell r="F322">
            <v>169</v>
          </cell>
          <cell r="G322">
            <v>283</v>
          </cell>
          <cell r="H322">
            <v>36</v>
          </cell>
          <cell r="I322">
            <v>113</v>
          </cell>
          <cell r="J322">
            <v>291</v>
          </cell>
          <cell r="K322">
            <v>534</v>
          </cell>
          <cell r="L322">
            <v>4.9000000000000004</v>
          </cell>
          <cell r="M322">
            <v>30.7</v>
          </cell>
          <cell r="N322">
            <v>6</v>
          </cell>
          <cell r="O322">
            <v>1.5</v>
          </cell>
          <cell r="P322">
            <v>2</v>
          </cell>
          <cell r="R322">
            <v>139</v>
          </cell>
          <cell r="S322">
            <v>0</v>
          </cell>
          <cell r="T322">
            <v>6.25</v>
          </cell>
          <cell r="U322">
            <v>3.35</v>
          </cell>
          <cell r="V322">
            <v>14</v>
          </cell>
          <cell r="W322">
            <v>4.8</v>
          </cell>
          <cell r="X322">
            <v>148</v>
          </cell>
          <cell r="Y322">
            <v>0</v>
          </cell>
        </row>
        <row r="323">
          <cell r="B323" t="str">
            <v>Treber</v>
          </cell>
          <cell r="C323">
            <v>81059</v>
          </cell>
          <cell r="D323">
            <v>2013</v>
          </cell>
          <cell r="E323">
            <v>21.5</v>
          </cell>
          <cell r="F323">
            <v>221</v>
          </cell>
          <cell r="G323">
            <v>235</v>
          </cell>
          <cell r="H323">
            <v>84</v>
          </cell>
          <cell r="I323">
            <v>42</v>
          </cell>
          <cell r="J323">
            <v>324</v>
          </cell>
          <cell r="K323">
            <v>599</v>
          </cell>
          <cell r="L323">
            <v>7.9</v>
          </cell>
          <cell r="M323">
            <v>1.4</v>
          </cell>
          <cell r="N323">
            <v>4.3</v>
          </cell>
          <cell r="O323">
            <v>0.1</v>
          </cell>
          <cell r="P323">
            <v>1.9</v>
          </cell>
          <cell r="R323">
            <v>194</v>
          </cell>
          <cell r="S323">
            <v>0</v>
          </cell>
          <cell r="T323">
            <v>6.67</v>
          </cell>
          <cell r="V323">
            <v>1</v>
          </cell>
          <cell r="W323">
            <v>4.32</v>
          </cell>
          <cell r="X323">
            <v>54</v>
          </cell>
          <cell r="Y323">
            <v>0</v>
          </cell>
        </row>
        <row r="324">
          <cell r="B324" t="str">
            <v>Heu, 2. S.</v>
          </cell>
          <cell r="C324">
            <v>81060</v>
          </cell>
          <cell r="D324">
            <v>2012</v>
          </cell>
          <cell r="E324">
            <v>91.9</v>
          </cell>
          <cell r="F324">
            <v>119</v>
          </cell>
          <cell r="G324">
            <v>329</v>
          </cell>
          <cell r="H324">
            <v>20</v>
          </cell>
          <cell r="I324">
            <v>78</v>
          </cell>
          <cell r="J324">
            <v>324</v>
          </cell>
          <cell r="K324">
            <v>535</v>
          </cell>
          <cell r="L324">
            <v>4.8</v>
          </cell>
          <cell r="M324">
            <v>22.4</v>
          </cell>
          <cell r="N324">
            <v>5</v>
          </cell>
          <cell r="O324">
            <v>1.3</v>
          </cell>
          <cell r="P324">
            <v>2</v>
          </cell>
          <cell r="R324">
            <v>129</v>
          </cell>
          <cell r="S324">
            <v>0</v>
          </cell>
          <cell r="T324">
            <v>5.68</v>
          </cell>
          <cell r="U324">
            <v>3.36</v>
          </cell>
          <cell r="W324">
            <v>-1.6</v>
          </cell>
          <cell r="X324">
            <v>248</v>
          </cell>
          <cell r="Y324">
            <v>0</v>
          </cell>
        </row>
        <row r="325">
          <cell r="B325" t="str">
            <v>Stroh, Gerste</v>
          </cell>
          <cell r="C325">
            <v>81061</v>
          </cell>
          <cell r="D325">
            <v>2012</v>
          </cell>
          <cell r="E325">
            <v>91.3</v>
          </cell>
          <cell r="F325">
            <v>34</v>
          </cell>
          <cell r="G325">
            <v>471</v>
          </cell>
          <cell r="H325">
            <v>14</v>
          </cell>
          <cell r="I325">
            <v>63</v>
          </cell>
          <cell r="J325">
            <v>506</v>
          </cell>
          <cell r="K325">
            <v>791</v>
          </cell>
          <cell r="L325">
            <v>1</v>
          </cell>
          <cell r="M325">
            <v>19.2</v>
          </cell>
          <cell r="N325">
            <v>5.0999999999999996</v>
          </cell>
          <cell r="O325">
            <v>0.4</v>
          </cell>
          <cell r="P325">
            <v>0.4</v>
          </cell>
          <cell r="R325">
            <v>76</v>
          </cell>
          <cell r="S325">
            <v>0</v>
          </cell>
          <cell r="T325">
            <v>3.75</v>
          </cell>
          <cell r="W325">
            <v>-6.72</v>
          </cell>
          <cell r="X325">
            <v>98</v>
          </cell>
          <cell r="Y325">
            <v>0</v>
          </cell>
        </row>
        <row r="326">
          <cell r="B326" t="str">
            <v>RES</v>
          </cell>
          <cell r="C326">
            <v>81062</v>
          </cell>
          <cell r="D326">
            <v>2013</v>
          </cell>
          <cell r="E326">
            <v>89.7</v>
          </cell>
          <cell r="F326">
            <v>391</v>
          </cell>
          <cell r="G326">
            <v>160</v>
          </cell>
          <cell r="H326">
            <v>23</v>
          </cell>
          <cell r="I326">
            <v>75</v>
          </cell>
          <cell r="J326">
            <v>254</v>
          </cell>
          <cell r="K326">
            <v>345</v>
          </cell>
          <cell r="L326">
            <v>15.3</v>
          </cell>
          <cell r="M326">
            <v>14.9</v>
          </cell>
          <cell r="N326">
            <v>8</v>
          </cell>
          <cell r="O326">
            <v>1</v>
          </cell>
          <cell r="P326">
            <v>5.5</v>
          </cell>
          <cell r="R326">
            <v>255</v>
          </cell>
          <cell r="S326">
            <v>0</v>
          </cell>
          <cell r="T326">
            <v>7.32</v>
          </cell>
          <cell r="W326">
            <v>21.76</v>
          </cell>
          <cell r="X326">
            <v>166</v>
          </cell>
          <cell r="Y326">
            <v>0</v>
          </cell>
        </row>
        <row r="327">
          <cell r="B327" t="str">
            <v>WGB 60/26/7/5/2</v>
          </cell>
          <cell r="C327">
            <v>81063</v>
          </cell>
          <cell r="D327">
            <v>2013</v>
          </cell>
          <cell r="E327">
            <v>90.3</v>
          </cell>
          <cell r="F327">
            <v>133</v>
          </cell>
          <cell r="G327">
            <v>219</v>
          </cell>
          <cell r="H327">
            <v>16</v>
          </cell>
          <cell r="I327">
            <v>109</v>
          </cell>
          <cell r="J327">
            <v>87</v>
          </cell>
          <cell r="K327">
            <v>420</v>
          </cell>
          <cell r="L327">
            <v>8.1999999999999993</v>
          </cell>
          <cell r="M327">
            <v>7.1</v>
          </cell>
          <cell r="N327">
            <v>18.8</v>
          </cell>
          <cell r="O327">
            <v>10.7</v>
          </cell>
          <cell r="P327">
            <v>3.4</v>
          </cell>
          <cell r="R327">
            <v>156</v>
          </cell>
          <cell r="S327">
            <v>0</v>
          </cell>
          <cell r="T327">
            <v>7.69</v>
          </cell>
          <cell r="W327">
            <v>-3.68</v>
          </cell>
          <cell r="X327">
            <v>322</v>
          </cell>
          <cell r="Y327">
            <v>0</v>
          </cell>
        </row>
        <row r="328">
          <cell r="B328" t="str">
            <v>Treber</v>
          </cell>
          <cell r="C328">
            <v>81066</v>
          </cell>
          <cell r="D328">
            <v>2013</v>
          </cell>
          <cell r="E328">
            <v>24</v>
          </cell>
          <cell r="F328">
            <v>243</v>
          </cell>
          <cell r="G328">
            <v>224</v>
          </cell>
          <cell r="H328">
            <v>92</v>
          </cell>
          <cell r="I328">
            <v>45</v>
          </cell>
          <cell r="J328">
            <v>338</v>
          </cell>
          <cell r="K328">
            <v>615</v>
          </cell>
          <cell r="L328">
            <v>9.6</v>
          </cell>
          <cell r="M328">
            <v>1.8</v>
          </cell>
          <cell r="N328">
            <v>5.7</v>
          </cell>
          <cell r="O328">
            <v>0.2</v>
          </cell>
          <cell r="P328">
            <v>1.9</v>
          </cell>
          <cell r="R328">
            <v>205</v>
          </cell>
          <cell r="S328">
            <v>0</v>
          </cell>
          <cell r="T328">
            <v>6.76</v>
          </cell>
          <cell r="W328">
            <v>6.08</v>
          </cell>
          <cell r="X328">
            <v>5</v>
          </cell>
          <cell r="Y328">
            <v>0</v>
          </cell>
        </row>
        <row r="329">
          <cell r="B329" t="str">
            <v>Silo 8</v>
          </cell>
          <cell r="C329">
            <v>81069</v>
          </cell>
          <cell r="D329">
            <v>2012</v>
          </cell>
          <cell r="E329">
            <v>38.299999999999997</v>
          </cell>
          <cell r="F329">
            <v>93</v>
          </cell>
          <cell r="G329">
            <v>193</v>
          </cell>
          <cell r="H329">
            <v>47</v>
          </cell>
          <cell r="I329">
            <v>35</v>
          </cell>
          <cell r="J329">
            <v>210</v>
          </cell>
          <cell r="K329">
            <v>396</v>
          </cell>
          <cell r="L329">
            <v>3.4</v>
          </cell>
          <cell r="M329">
            <v>9.5</v>
          </cell>
          <cell r="N329">
            <v>2.2999999999999998</v>
          </cell>
          <cell r="O329">
            <v>0.2</v>
          </cell>
          <cell r="P329">
            <v>1.2</v>
          </cell>
          <cell r="R329">
            <v>147</v>
          </cell>
          <cell r="S329">
            <v>0</v>
          </cell>
          <cell r="T329">
            <v>6.63</v>
          </cell>
          <cell r="U329">
            <v>1.8</v>
          </cell>
          <cell r="V329">
            <v>6</v>
          </cell>
          <cell r="W329">
            <v>-8.64</v>
          </cell>
          <cell r="X329">
            <v>429</v>
          </cell>
          <cell r="Y329">
            <v>0</v>
          </cell>
        </row>
        <row r="330">
          <cell r="B330" t="str">
            <v>Silo 7</v>
          </cell>
          <cell r="C330">
            <v>81070</v>
          </cell>
          <cell r="D330">
            <v>2012</v>
          </cell>
          <cell r="E330">
            <v>30.9</v>
          </cell>
          <cell r="F330">
            <v>182</v>
          </cell>
          <cell r="G330">
            <v>282</v>
          </cell>
          <cell r="H330">
            <v>32</v>
          </cell>
          <cell r="I330">
            <v>119</v>
          </cell>
          <cell r="J330">
            <v>293</v>
          </cell>
          <cell r="K330">
            <v>562</v>
          </cell>
          <cell r="L330">
            <v>4.9000000000000004</v>
          </cell>
          <cell r="M330">
            <v>34.200000000000003</v>
          </cell>
          <cell r="N330">
            <v>8</v>
          </cell>
          <cell r="O330">
            <v>2.6</v>
          </cell>
          <cell r="P330">
            <v>2.4</v>
          </cell>
          <cell r="R330">
            <v>140</v>
          </cell>
          <cell r="S330">
            <v>0</v>
          </cell>
          <cell r="T330">
            <v>6.14</v>
          </cell>
          <cell r="U330">
            <v>3.52</v>
          </cell>
          <cell r="V330">
            <v>11</v>
          </cell>
          <cell r="W330">
            <v>6.72</v>
          </cell>
          <cell r="X330">
            <v>105</v>
          </cell>
          <cell r="Y330">
            <v>0</v>
          </cell>
        </row>
        <row r="331">
          <cell r="B331" t="str">
            <v>Treber</v>
          </cell>
          <cell r="C331">
            <v>81071</v>
          </cell>
          <cell r="D331">
            <v>2013</v>
          </cell>
          <cell r="E331">
            <v>21.5</v>
          </cell>
          <cell r="F331">
            <v>236</v>
          </cell>
          <cell r="G331">
            <v>219</v>
          </cell>
          <cell r="H331">
            <v>88</v>
          </cell>
          <cell r="I331">
            <v>46</v>
          </cell>
          <cell r="J331">
            <v>322</v>
          </cell>
          <cell r="K331">
            <v>622</v>
          </cell>
          <cell r="L331">
            <v>8.1</v>
          </cell>
          <cell r="M331">
            <v>2.1</v>
          </cell>
          <cell r="N331">
            <v>4.8</v>
          </cell>
          <cell r="O331">
            <v>0.5</v>
          </cell>
          <cell r="P331">
            <v>1.9</v>
          </cell>
          <cell r="R331">
            <v>201</v>
          </cell>
          <cell r="S331">
            <v>0</v>
          </cell>
          <cell r="T331">
            <v>6.71</v>
          </cell>
          <cell r="V331">
            <v>0</v>
          </cell>
          <cell r="W331">
            <v>5.6</v>
          </cell>
          <cell r="X331">
            <v>8</v>
          </cell>
          <cell r="Y331">
            <v>0</v>
          </cell>
        </row>
        <row r="332">
          <cell r="B332" t="str">
            <v>Heu, 2. S.</v>
          </cell>
          <cell r="C332">
            <v>81072</v>
          </cell>
          <cell r="D332">
            <v>2012</v>
          </cell>
          <cell r="E332">
            <v>89.7</v>
          </cell>
          <cell r="F332">
            <v>124</v>
          </cell>
          <cell r="G332">
            <v>332</v>
          </cell>
          <cell r="H332">
            <v>19</v>
          </cell>
          <cell r="I332">
            <v>76</v>
          </cell>
          <cell r="J332">
            <v>318</v>
          </cell>
          <cell r="K332">
            <v>541</v>
          </cell>
          <cell r="L332">
            <v>4.5999999999999996</v>
          </cell>
          <cell r="M332">
            <v>20.399999999999999</v>
          </cell>
          <cell r="N332">
            <v>5</v>
          </cell>
          <cell r="O332">
            <v>1.3</v>
          </cell>
          <cell r="P332">
            <v>1.9</v>
          </cell>
          <cell r="R332">
            <v>130</v>
          </cell>
          <cell r="S332">
            <v>0</v>
          </cell>
          <cell r="T332">
            <v>5.61</v>
          </cell>
          <cell r="U332">
            <v>3.39</v>
          </cell>
          <cell r="W332">
            <v>-0.96</v>
          </cell>
          <cell r="X332">
            <v>240</v>
          </cell>
          <cell r="Y332">
            <v>0</v>
          </cell>
        </row>
        <row r="333">
          <cell r="B333" t="str">
            <v>Stroh, Gerste</v>
          </cell>
          <cell r="C333">
            <v>81073</v>
          </cell>
          <cell r="D333">
            <v>2012</v>
          </cell>
          <cell r="E333">
            <v>91</v>
          </cell>
          <cell r="F333">
            <v>24</v>
          </cell>
          <cell r="G333">
            <v>490</v>
          </cell>
          <cell r="H333">
            <v>11</v>
          </cell>
          <cell r="I333">
            <v>45</v>
          </cell>
          <cell r="J333">
            <v>552</v>
          </cell>
          <cell r="K333">
            <v>834</v>
          </cell>
          <cell r="L333">
            <v>0.9</v>
          </cell>
          <cell r="M333">
            <v>13.6</v>
          </cell>
          <cell r="N333">
            <v>3.3</v>
          </cell>
          <cell r="O333">
            <v>0.2</v>
          </cell>
          <cell r="P333">
            <v>0.5</v>
          </cell>
          <cell r="R333">
            <v>72</v>
          </cell>
          <cell r="S333">
            <v>0</v>
          </cell>
          <cell r="T333">
            <v>3.79</v>
          </cell>
          <cell r="W333">
            <v>-7.68</v>
          </cell>
          <cell r="X333">
            <v>86</v>
          </cell>
          <cell r="Y333">
            <v>0</v>
          </cell>
        </row>
        <row r="334">
          <cell r="B334" t="str">
            <v>RES</v>
          </cell>
          <cell r="C334">
            <v>81074</v>
          </cell>
          <cell r="D334">
            <v>2013</v>
          </cell>
          <cell r="E334">
            <v>88.8</v>
          </cell>
          <cell r="F334">
            <v>390</v>
          </cell>
          <cell r="G334">
            <v>159</v>
          </cell>
          <cell r="H334">
            <v>17</v>
          </cell>
          <cell r="I334">
            <v>77</v>
          </cell>
          <cell r="J334">
            <v>251</v>
          </cell>
          <cell r="K334">
            <v>326</v>
          </cell>
          <cell r="L334">
            <v>16.2</v>
          </cell>
          <cell r="M334">
            <v>14.4</v>
          </cell>
          <cell r="N334">
            <v>8.4</v>
          </cell>
          <cell r="O334">
            <v>0.5</v>
          </cell>
          <cell r="P334">
            <v>4.5999999999999996</v>
          </cell>
          <cell r="R334">
            <v>254</v>
          </cell>
          <cell r="S334">
            <v>0</v>
          </cell>
          <cell r="T334">
            <v>7.26</v>
          </cell>
          <cell r="W334">
            <v>21.76</v>
          </cell>
          <cell r="X334">
            <v>190</v>
          </cell>
          <cell r="Y334">
            <v>0</v>
          </cell>
        </row>
        <row r="335">
          <cell r="B335" t="str">
            <v>WGB 60/26/7/5/2</v>
          </cell>
          <cell r="C335">
            <v>81075</v>
          </cell>
          <cell r="D335">
            <v>2013</v>
          </cell>
          <cell r="E335">
            <v>89.2</v>
          </cell>
          <cell r="F335">
            <v>133</v>
          </cell>
          <cell r="G335">
            <v>221</v>
          </cell>
          <cell r="H335">
            <v>19</v>
          </cell>
          <cell r="I335">
            <v>76</v>
          </cell>
          <cell r="J335">
            <v>111</v>
          </cell>
          <cell r="K335">
            <v>386</v>
          </cell>
          <cell r="L335">
            <v>7.4</v>
          </cell>
          <cell r="M335">
            <v>7.5</v>
          </cell>
          <cell r="N335">
            <v>8.9</v>
          </cell>
          <cell r="O335">
            <v>8.9</v>
          </cell>
          <cell r="P335">
            <v>2.4</v>
          </cell>
          <cell r="R335">
            <v>160</v>
          </cell>
          <cell r="S335">
            <v>0</v>
          </cell>
          <cell r="T335">
            <v>7.87</v>
          </cell>
          <cell r="W335">
            <v>-4.32</v>
          </cell>
          <cell r="X335">
            <v>386</v>
          </cell>
          <cell r="Y335">
            <v>0</v>
          </cell>
        </row>
        <row r="336">
          <cell r="B336" t="str">
            <v>Silo 8</v>
          </cell>
          <cell r="C336">
            <v>81080</v>
          </cell>
          <cell r="D336">
            <v>2012</v>
          </cell>
          <cell r="E336">
            <v>38.5</v>
          </cell>
          <cell r="F336">
            <v>76</v>
          </cell>
          <cell r="G336">
            <v>198</v>
          </cell>
          <cell r="H336">
            <v>37</v>
          </cell>
          <cell r="I336">
            <v>39</v>
          </cell>
          <cell r="J336">
            <v>192</v>
          </cell>
          <cell r="K336">
            <v>390</v>
          </cell>
          <cell r="L336">
            <v>2.9</v>
          </cell>
          <cell r="M336">
            <v>10.4</v>
          </cell>
          <cell r="N336">
            <v>2.2000000000000002</v>
          </cell>
          <cell r="O336">
            <v>0.1</v>
          </cell>
          <cell r="P336">
            <v>1</v>
          </cell>
          <cell r="R336">
            <v>140</v>
          </cell>
          <cell r="S336">
            <v>0</v>
          </cell>
          <cell r="T336">
            <v>7.27</v>
          </cell>
          <cell r="U336">
            <v>1.77</v>
          </cell>
          <cell r="V336">
            <v>3</v>
          </cell>
          <cell r="W336">
            <v>-10.24</v>
          </cell>
          <cell r="X336">
            <v>458</v>
          </cell>
          <cell r="Y336">
            <v>0</v>
          </cell>
        </row>
        <row r="337">
          <cell r="B337" t="str">
            <v>Silo 7</v>
          </cell>
          <cell r="C337">
            <v>81081</v>
          </cell>
          <cell r="D337">
            <v>2012</v>
          </cell>
          <cell r="E337">
            <v>31.5</v>
          </cell>
          <cell r="F337">
            <v>187</v>
          </cell>
          <cell r="G337">
            <v>294</v>
          </cell>
          <cell r="H337">
            <v>34</v>
          </cell>
          <cell r="I337">
            <v>121</v>
          </cell>
          <cell r="J337">
            <v>288</v>
          </cell>
          <cell r="K337">
            <v>505</v>
          </cell>
          <cell r="L337">
            <v>4.9000000000000004</v>
          </cell>
          <cell r="M337">
            <v>32.299999999999997</v>
          </cell>
          <cell r="N337">
            <v>6.6</v>
          </cell>
          <cell r="O337">
            <v>3</v>
          </cell>
          <cell r="P337">
            <v>2.2999999999999998</v>
          </cell>
          <cell r="R337">
            <v>143</v>
          </cell>
          <cell r="S337">
            <v>0</v>
          </cell>
          <cell r="T337">
            <v>6.31</v>
          </cell>
          <cell r="U337">
            <v>3.18</v>
          </cell>
          <cell r="V337">
            <v>24</v>
          </cell>
          <cell r="W337">
            <v>7.04</v>
          </cell>
          <cell r="X337">
            <v>153</v>
          </cell>
          <cell r="Y337">
            <v>0</v>
          </cell>
        </row>
        <row r="338">
          <cell r="B338" t="str">
            <v>Treber</v>
          </cell>
          <cell r="C338">
            <v>81082</v>
          </cell>
          <cell r="D338">
            <v>2013</v>
          </cell>
          <cell r="E338">
            <v>21.7</v>
          </cell>
          <cell r="F338">
            <v>227</v>
          </cell>
          <cell r="G338">
            <v>209</v>
          </cell>
          <cell r="H338">
            <v>90</v>
          </cell>
          <cell r="I338">
            <v>48</v>
          </cell>
          <cell r="J338">
            <v>303</v>
          </cell>
          <cell r="K338">
            <v>580</v>
          </cell>
          <cell r="L338">
            <v>6.9</v>
          </cell>
          <cell r="M338">
            <v>2.8</v>
          </cell>
          <cell r="N338">
            <v>3.6</v>
          </cell>
          <cell r="O338">
            <v>0.2</v>
          </cell>
          <cell r="P338">
            <v>1.5</v>
          </cell>
          <cell r="R338">
            <v>197</v>
          </cell>
          <cell r="S338">
            <v>0</v>
          </cell>
          <cell r="T338">
            <v>6.71</v>
          </cell>
          <cell r="V338">
            <v>2</v>
          </cell>
          <cell r="W338">
            <v>4.8</v>
          </cell>
          <cell r="X338">
            <v>55</v>
          </cell>
          <cell r="Y338">
            <v>0</v>
          </cell>
        </row>
        <row r="339">
          <cell r="B339" t="str">
            <v>Heu, 2. S.</v>
          </cell>
          <cell r="C339">
            <v>81083</v>
          </cell>
          <cell r="D339">
            <v>2012</v>
          </cell>
          <cell r="E339">
            <v>91.5</v>
          </cell>
          <cell r="F339">
            <v>137</v>
          </cell>
          <cell r="G339">
            <v>323</v>
          </cell>
          <cell r="H339">
            <v>20</v>
          </cell>
          <cell r="I339">
            <v>87</v>
          </cell>
          <cell r="J339">
            <v>319</v>
          </cell>
          <cell r="K339">
            <v>536</v>
          </cell>
          <cell r="L339">
            <v>4.5999999999999996</v>
          </cell>
          <cell r="M339">
            <v>21.5</v>
          </cell>
          <cell r="N339">
            <v>4.9000000000000004</v>
          </cell>
          <cell r="O339">
            <v>2.8</v>
          </cell>
          <cell r="P339">
            <v>2</v>
          </cell>
          <cell r="R339">
            <v>134</v>
          </cell>
          <cell r="S339">
            <v>0</v>
          </cell>
          <cell r="T339">
            <v>5.67</v>
          </cell>
          <cell r="U339">
            <v>3.37</v>
          </cell>
          <cell r="W339">
            <v>0.48</v>
          </cell>
          <cell r="X339">
            <v>220</v>
          </cell>
          <cell r="Y339">
            <v>0</v>
          </cell>
        </row>
        <row r="340">
          <cell r="B340" t="str">
            <v>Stroh, Gerste</v>
          </cell>
          <cell r="C340">
            <v>81084</v>
          </cell>
          <cell r="D340">
            <v>2012</v>
          </cell>
          <cell r="E340">
            <v>91.3</v>
          </cell>
          <cell r="F340">
            <v>25</v>
          </cell>
          <cell r="G340">
            <v>479</v>
          </cell>
          <cell r="H340">
            <v>12</v>
          </cell>
          <cell r="I340">
            <v>51</v>
          </cell>
          <cell r="J340">
            <v>557</v>
          </cell>
          <cell r="K340">
            <v>816</v>
          </cell>
          <cell r="L340">
            <v>0.9</v>
          </cell>
          <cell r="M340">
            <v>14.6</v>
          </cell>
          <cell r="N340">
            <v>3.4</v>
          </cell>
          <cell r="O340">
            <v>0.1</v>
          </cell>
          <cell r="P340">
            <v>0.5</v>
          </cell>
          <cell r="R340">
            <v>72</v>
          </cell>
          <cell r="S340">
            <v>0</v>
          </cell>
          <cell r="T340">
            <v>3.77</v>
          </cell>
          <cell r="W340">
            <v>-7.52</v>
          </cell>
          <cell r="X340">
            <v>96</v>
          </cell>
          <cell r="Y340">
            <v>0</v>
          </cell>
        </row>
        <row r="341">
          <cell r="B341" t="str">
            <v>RES</v>
          </cell>
          <cell r="C341">
            <v>81085</v>
          </cell>
          <cell r="D341">
            <v>2013</v>
          </cell>
          <cell r="E341">
            <v>88.8</v>
          </cell>
          <cell r="F341">
            <v>387</v>
          </cell>
          <cell r="G341">
            <v>164</v>
          </cell>
          <cell r="H341">
            <v>14</v>
          </cell>
          <cell r="I341">
            <v>76</v>
          </cell>
          <cell r="J341">
            <v>258</v>
          </cell>
          <cell r="K341">
            <v>326</v>
          </cell>
          <cell r="L341">
            <v>16.2</v>
          </cell>
          <cell r="M341">
            <v>15</v>
          </cell>
          <cell r="N341">
            <v>9.1999999999999993</v>
          </cell>
          <cell r="O341">
            <v>0.3</v>
          </cell>
          <cell r="P341">
            <v>4.8</v>
          </cell>
          <cell r="R341">
            <v>253</v>
          </cell>
          <cell r="S341">
            <v>0</v>
          </cell>
          <cell r="T341">
            <v>7.24</v>
          </cell>
          <cell r="W341">
            <v>21.44</v>
          </cell>
          <cell r="X341">
            <v>197</v>
          </cell>
          <cell r="Y341">
            <v>0</v>
          </cell>
        </row>
        <row r="342">
          <cell r="B342" t="str">
            <v>WGB</v>
          </cell>
          <cell r="C342">
            <v>81086</v>
          </cell>
          <cell r="D342">
            <v>2013</v>
          </cell>
          <cell r="E342">
            <v>88.8</v>
          </cell>
          <cell r="F342">
            <v>172</v>
          </cell>
          <cell r="G342">
            <v>224</v>
          </cell>
          <cell r="H342">
            <v>19</v>
          </cell>
          <cell r="I342">
            <v>76</v>
          </cell>
          <cell r="J342">
            <v>87</v>
          </cell>
          <cell r="K342">
            <v>363</v>
          </cell>
          <cell r="L342">
            <v>8.8000000000000007</v>
          </cell>
          <cell r="M342">
            <v>6.8</v>
          </cell>
          <cell r="N342">
            <v>10.7</v>
          </cell>
          <cell r="O342">
            <v>7.8</v>
          </cell>
          <cell r="P342">
            <v>2.9</v>
          </cell>
          <cell r="R342">
            <v>173</v>
          </cell>
          <cell r="S342">
            <v>0</v>
          </cell>
          <cell r="T342">
            <v>8.25</v>
          </cell>
          <cell r="W342">
            <v>-0.16</v>
          </cell>
          <cell r="X342">
            <v>370</v>
          </cell>
          <cell r="Y342">
            <v>0</v>
          </cell>
        </row>
        <row r="343">
          <cell r="B343" t="str">
            <v xml:space="preserve">RB Dt. Weidelgras 1.Schnitt </v>
          </cell>
          <cell r="C343">
            <v>81089</v>
          </cell>
          <cell r="D343">
            <v>2013</v>
          </cell>
          <cell r="S343">
            <v>0</v>
          </cell>
          <cell r="V343">
            <v>107</v>
          </cell>
          <cell r="W343">
            <v>0</v>
          </cell>
          <cell r="Y343">
            <v>0</v>
          </cell>
        </row>
        <row r="344">
          <cell r="B344" t="str">
            <v>RB Rohrschwingel 1.Schnitt</v>
          </cell>
          <cell r="C344">
            <v>81090</v>
          </cell>
          <cell r="D344">
            <v>2013</v>
          </cell>
          <cell r="S344">
            <v>0</v>
          </cell>
          <cell r="V344">
            <v>67</v>
          </cell>
          <cell r="W344">
            <v>0</v>
          </cell>
          <cell r="Y344">
            <v>0</v>
          </cell>
        </row>
        <row r="345">
          <cell r="B345" t="str">
            <v xml:space="preserve">RB Dt. Weidelgras 2.Schnitt </v>
          </cell>
          <cell r="C345">
            <v>81091</v>
          </cell>
          <cell r="D345">
            <v>2013</v>
          </cell>
          <cell r="S345">
            <v>0</v>
          </cell>
          <cell r="V345">
            <v>55</v>
          </cell>
          <cell r="W345">
            <v>0</v>
          </cell>
          <cell r="Y345">
            <v>0</v>
          </cell>
        </row>
        <row r="346">
          <cell r="B346" t="str">
            <v>RB Rohrschwingel 2.Schnitt</v>
          </cell>
          <cell r="C346">
            <v>81092</v>
          </cell>
          <cell r="D346">
            <v>2013</v>
          </cell>
          <cell r="S346">
            <v>0</v>
          </cell>
          <cell r="V346">
            <v>100</v>
          </cell>
          <cell r="W346">
            <v>0</v>
          </cell>
          <cell r="Y346">
            <v>0</v>
          </cell>
        </row>
        <row r="347">
          <cell r="B347" t="str">
            <v>Silo 8</v>
          </cell>
          <cell r="C347">
            <v>81093</v>
          </cell>
          <cell r="D347">
            <v>2012</v>
          </cell>
          <cell r="S347">
            <v>0</v>
          </cell>
          <cell r="V347">
            <v>5</v>
          </cell>
          <cell r="W347">
            <v>0</v>
          </cell>
          <cell r="Y347">
            <v>0</v>
          </cell>
        </row>
        <row r="348">
          <cell r="B348" t="str">
            <v>Silo 7</v>
          </cell>
          <cell r="C348">
            <v>81094</v>
          </cell>
          <cell r="D348">
            <v>2012</v>
          </cell>
          <cell r="S348">
            <v>0</v>
          </cell>
          <cell r="V348">
            <v>30</v>
          </cell>
          <cell r="W348">
            <v>0</v>
          </cell>
          <cell r="Y348">
            <v>0</v>
          </cell>
        </row>
        <row r="349">
          <cell r="B349" t="str">
            <v>Treber</v>
          </cell>
          <cell r="C349">
            <v>81095</v>
          </cell>
          <cell r="D349">
            <v>2013</v>
          </cell>
          <cell r="S349">
            <v>0</v>
          </cell>
          <cell r="V349">
            <v>0</v>
          </cell>
          <cell r="W349">
            <v>0</v>
          </cell>
          <cell r="Y349">
            <v>0</v>
          </cell>
        </row>
        <row r="350">
          <cell r="B350" t="str">
            <v>Silo 2G</v>
          </cell>
          <cell r="C350">
            <v>81102</v>
          </cell>
          <cell r="D350">
            <v>2013</v>
          </cell>
          <cell r="E350">
            <v>46.2</v>
          </cell>
          <cell r="F350">
            <v>151</v>
          </cell>
          <cell r="G350">
            <v>293</v>
          </cell>
          <cell r="H350">
            <v>32</v>
          </cell>
          <cell r="I350">
            <v>97</v>
          </cell>
          <cell r="J350">
            <v>312</v>
          </cell>
          <cell r="K350">
            <v>465</v>
          </cell>
          <cell r="L350">
            <v>4.9000000000000004</v>
          </cell>
          <cell r="M350">
            <v>28</v>
          </cell>
          <cell r="N350">
            <v>6.1</v>
          </cell>
          <cell r="O350">
            <v>1.2</v>
          </cell>
          <cell r="P350">
            <v>2.2000000000000002</v>
          </cell>
          <cell r="R350">
            <v>136</v>
          </cell>
          <cell r="S350">
            <v>0</v>
          </cell>
          <cell r="T350">
            <v>6.21</v>
          </cell>
          <cell r="U350">
            <v>2.94</v>
          </cell>
          <cell r="V350">
            <v>88</v>
          </cell>
          <cell r="W350">
            <v>2.4</v>
          </cell>
          <cell r="X350">
            <v>255</v>
          </cell>
          <cell r="Y350">
            <v>0</v>
          </cell>
        </row>
        <row r="351">
          <cell r="B351" t="str">
            <v xml:space="preserve">RB Dt. Weidelgras 1.Schnitt </v>
          </cell>
          <cell r="C351">
            <v>81103</v>
          </cell>
          <cell r="D351">
            <v>2013</v>
          </cell>
          <cell r="E351">
            <v>46.4</v>
          </cell>
          <cell r="F351">
            <v>218</v>
          </cell>
          <cell r="G351">
            <v>295</v>
          </cell>
          <cell r="H351">
            <v>43</v>
          </cell>
          <cell r="I351">
            <v>117</v>
          </cell>
          <cell r="J351">
            <v>267</v>
          </cell>
          <cell r="K351">
            <v>433</v>
          </cell>
          <cell r="L351">
            <v>7</v>
          </cell>
          <cell r="M351">
            <v>42.3</v>
          </cell>
          <cell r="N351">
            <v>5.8</v>
          </cell>
          <cell r="O351">
            <v>2.2000000000000002</v>
          </cell>
          <cell r="P351">
            <v>1.6</v>
          </cell>
          <cell r="R351">
            <v>157</v>
          </cell>
          <cell r="S351">
            <v>0</v>
          </cell>
          <cell r="T351">
            <v>6.9</v>
          </cell>
          <cell r="U351">
            <v>2.75</v>
          </cell>
          <cell r="V351">
            <v>76</v>
          </cell>
          <cell r="W351">
            <v>9.76</v>
          </cell>
          <cell r="X351">
            <v>189</v>
          </cell>
          <cell r="Y351">
            <v>0</v>
          </cell>
        </row>
        <row r="352">
          <cell r="B352" t="str">
            <v>RB Rohrschwingel 1.Schnitt</v>
          </cell>
          <cell r="C352">
            <v>81104</v>
          </cell>
          <cell r="D352">
            <v>2013</v>
          </cell>
          <cell r="E352">
            <v>62.5</v>
          </cell>
          <cell r="F352">
            <v>217</v>
          </cell>
          <cell r="G352">
            <v>282</v>
          </cell>
          <cell r="H352">
            <v>32</v>
          </cell>
          <cell r="I352">
            <v>122</v>
          </cell>
          <cell r="J352">
            <v>285</v>
          </cell>
          <cell r="K352">
            <v>462</v>
          </cell>
          <cell r="L352">
            <v>5.8</v>
          </cell>
          <cell r="M352">
            <v>44.2</v>
          </cell>
          <cell r="N352">
            <v>4.0999999999999996</v>
          </cell>
          <cell r="O352">
            <v>2.1</v>
          </cell>
          <cell r="P352">
            <v>2.4</v>
          </cell>
          <cell r="R352">
            <v>147</v>
          </cell>
          <cell r="S352">
            <v>0</v>
          </cell>
          <cell r="T352">
            <v>6.25</v>
          </cell>
          <cell r="U352">
            <v>2.92</v>
          </cell>
          <cell r="V352">
            <v>68</v>
          </cell>
          <cell r="W352">
            <v>11.2</v>
          </cell>
          <cell r="X352">
            <v>167</v>
          </cell>
          <cell r="Y352">
            <v>0</v>
          </cell>
        </row>
        <row r="353">
          <cell r="B353" t="str">
            <v xml:space="preserve">RB Dt. Weidelgras 2.Schnitt </v>
          </cell>
          <cell r="C353">
            <v>81105</v>
          </cell>
          <cell r="D353">
            <v>2013</v>
          </cell>
          <cell r="E353">
            <v>41.9</v>
          </cell>
          <cell r="F353">
            <v>160</v>
          </cell>
          <cell r="G353">
            <v>295</v>
          </cell>
          <cell r="H353">
            <v>36</v>
          </cell>
          <cell r="I353">
            <v>109</v>
          </cell>
          <cell r="J353">
            <v>279</v>
          </cell>
          <cell r="K353">
            <v>440</v>
          </cell>
          <cell r="L353">
            <v>6.1</v>
          </cell>
          <cell r="M353">
            <v>37.700000000000003</v>
          </cell>
          <cell r="N353">
            <v>5.3</v>
          </cell>
          <cell r="O353">
            <v>0.9</v>
          </cell>
          <cell r="P353">
            <v>1.6</v>
          </cell>
          <cell r="R353">
            <v>144</v>
          </cell>
          <cell r="S353">
            <v>0</v>
          </cell>
          <cell r="T353">
            <v>6.62</v>
          </cell>
          <cell r="U353">
            <v>2.79</v>
          </cell>
          <cell r="V353">
            <v>56</v>
          </cell>
          <cell r="W353">
            <v>2.56</v>
          </cell>
          <cell r="X353">
            <v>255</v>
          </cell>
          <cell r="Y353">
            <v>0</v>
          </cell>
        </row>
        <row r="354">
          <cell r="B354" t="str">
            <v>RB Rohrschwingel 2.Schnitt</v>
          </cell>
          <cell r="C354">
            <v>81106</v>
          </cell>
          <cell r="D354">
            <v>2013</v>
          </cell>
          <cell r="E354">
            <v>53.1</v>
          </cell>
          <cell r="F354">
            <v>174</v>
          </cell>
          <cell r="G354">
            <v>300</v>
          </cell>
          <cell r="H354">
            <v>31</v>
          </cell>
          <cell r="I354">
            <v>120</v>
          </cell>
          <cell r="J354">
            <v>286</v>
          </cell>
          <cell r="K354">
            <v>472</v>
          </cell>
          <cell r="L354">
            <v>5.8</v>
          </cell>
          <cell r="M354">
            <v>40.799999999999997</v>
          </cell>
          <cell r="N354">
            <v>3.8</v>
          </cell>
          <cell r="O354">
            <v>0.6</v>
          </cell>
          <cell r="P354">
            <v>2.4</v>
          </cell>
          <cell r="R354">
            <v>137</v>
          </cell>
          <cell r="S354">
            <v>0</v>
          </cell>
          <cell r="T354">
            <v>6.01</v>
          </cell>
          <cell r="U354">
            <v>2.98</v>
          </cell>
          <cell r="V354">
            <v>40</v>
          </cell>
          <cell r="W354">
            <v>5.92</v>
          </cell>
          <cell r="X354">
            <v>203</v>
          </cell>
          <cell r="Y354">
            <v>0</v>
          </cell>
        </row>
        <row r="355">
          <cell r="B355" t="str">
            <v>Silo 8</v>
          </cell>
          <cell r="C355">
            <v>81107</v>
          </cell>
          <cell r="D355">
            <v>2013</v>
          </cell>
          <cell r="E355">
            <v>33.6</v>
          </cell>
          <cell r="F355">
            <v>75</v>
          </cell>
          <cell r="G355">
            <v>184</v>
          </cell>
          <cell r="H355">
            <v>32</v>
          </cell>
          <cell r="I355">
            <v>36</v>
          </cell>
          <cell r="J355">
            <v>210</v>
          </cell>
          <cell r="K355">
            <v>347</v>
          </cell>
          <cell r="L355">
            <v>2.6</v>
          </cell>
          <cell r="M355">
            <v>9.3000000000000007</v>
          </cell>
          <cell r="N355">
            <v>2.5</v>
          </cell>
          <cell r="O355">
            <v>0.2</v>
          </cell>
          <cell r="P355">
            <v>1.3</v>
          </cell>
          <cell r="R355">
            <v>136</v>
          </cell>
          <cell r="S355">
            <v>0</v>
          </cell>
          <cell r="T355">
            <v>6.9</v>
          </cell>
          <cell r="U355">
            <v>1.51</v>
          </cell>
          <cell r="W355">
            <v>-9.76</v>
          </cell>
          <cell r="X355">
            <v>510</v>
          </cell>
          <cell r="Y355">
            <v>0</v>
          </cell>
        </row>
        <row r="356">
          <cell r="B356" t="str">
            <v>Silo 7</v>
          </cell>
          <cell r="C356">
            <v>81108</v>
          </cell>
          <cell r="D356">
            <v>2013</v>
          </cell>
          <cell r="E356">
            <v>35.9</v>
          </cell>
          <cell r="F356">
            <v>71</v>
          </cell>
          <cell r="G356">
            <v>187</v>
          </cell>
          <cell r="H356">
            <v>30</v>
          </cell>
          <cell r="I356">
            <v>35</v>
          </cell>
          <cell r="J356">
            <v>213</v>
          </cell>
          <cell r="K356">
            <v>356</v>
          </cell>
          <cell r="L356">
            <v>2.4</v>
          </cell>
          <cell r="M356">
            <v>9.6</v>
          </cell>
          <cell r="N356">
            <v>2.4</v>
          </cell>
          <cell r="O356">
            <v>0.1</v>
          </cell>
          <cell r="P356">
            <v>1.2</v>
          </cell>
          <cell r="R356">
            <v>133</v>
          </cell>
          <cell r="S356">
            <v>0</v>
          </cell>
          <cell r="T356">
            <v>6.8</v>
          </cell>
          <cell r="U356">
            <v>1.57</v>
          </cell>
          <cell r="W356">
            <v>-9.92</v>
          </cell>
          <cell r="X356">
            <v>508</v>
          </cell>
          <cell r="Y356">
            <v>0</v>
          </cell>
        </row>
        <row r="357">
          <cell r="B357" t="str">
            <v>Silo 4</v>
          </cell>
          <cell r="C357">
            <v>81109</v>
          </cell>
          <cell r="D357">
            <v>2013</v>
          </cell>
          <cell r="E357">
            <v>34.5</v>
          </cell>
          <cell r="F357">
            <v>141</v>
          </cell>
          <cell r="G357">
            <v>299</v>
          </cell>
          <cell r="H357">
            <v>24</v>
          </cell>
          <cell r="I357">
            <v>80</v>
          </cell>
          <cell r="J357">
            <v>302</v>
          </cell>
          <cell r="K357">
            <v>448</v>
          </cell>
          <cell r="L357">
            <v>3.8</v>
          </cell>
          <cell r="M357">
            <v>0</v>
          </cell>
          <cell r="N357">
            <v>8.6</v>
          </cell>
          <cell r="O357">
            <v>1.9</v>
          </cell>
          <cell r="P357">
            <v>3.3</v>
          </cell>
          <cell r="R357">
            <v>136</v>
          </cell>
          <cell r="S357">
            <v>0</v>
          </cell>
          <cell r="T357">
            <v>6.2</v>
          </cell>
          <cell r="U357">
            <v>2.84</v>
          </cell>
          <cell r="V357">
            <v>9</v>
          </cell>
          <cell r="W357">
            <v>0.8</v>
          </cell>
          <cell r="X357">
            <v>307</v>
          </cell>
          <cell r="Y357">
            <v>0</v>
          </cell>
        </row>
        <row r="358">
          <cell r="B358" t="str">
            <v>Silo 9</v>
          </cell>
          <cell r="C358">
            <v>81110</v>
          </cell>
          <cell r="D358">
            <v>2013</v>
          </cell>
          <cell r="E358">
            <v>35.799999999999997</v>
          </cell>
          <cell r="F358">
            <v>200</v>
          </cell>
          <cell r="G358">
            <v>303</v>
          </cell>
          <cell r="H358">
            <v>33</v>
          </cell>
          <cell r="I358">
            <v>121</v>
          </cell>
          <cell r="J358">
            <v>306</v>
          </cell>
          <cell r="K358">
            <v>461</v>
          </cell>
          <cell r="L358">
            <v>5.0999999999999996</v>
          </cell>
          <cell r="M358">
            <v>33.5</v>
          </cell>
          <cell r="N358">
            <v>6.2</v>
          </cell>
          <cell r="O358">
            <v>2.6</v>
          </cell>
          <cell r="P358">
            <v>2.1</v>
          </cell>
          <cell r="R358">
            <v>142</v>
          </cell>
          <cell r="S358">
            <v>0</v>
          </cell>
          <cell r="T358">
            <v>6.1</v>
          </cell>
          <cell r="U358">
            <v>2.92</v>
          </cell>
          <cell r="V358">
            <v>11</v>
          </cell>
          <cell r="W358">
            <v>9.2799999999999994</v>
          </cell>
          <cell r="X358">
            <v>185</v>
          </cell>
          <cell r="Y358">
            <v>0</v>
          </cell>
        </row>
        <row r="359">
          <cell r="B359" t="str">
            <v>Silo 6</v>
          </cell>
          <cell r="C359">
            <v>81129</v>
          </cell>
          <cell r="D359">
            <v>2013</v>
          </cell>
          <cell r="E359">
            <v>34.9</v>
          </cell>
          <cell r="F359">
            <v>71</v>
          </cell>
          <cell r="G359">
            <v>180</v>
          </cell>
          <cell r="H359">
            <v>27</v>
          </cell>
          <cell r="I359">
            <v>37</v>
          </cell>
          <cell r="J359">
            <v>212</v>
          </cell>
          <cell r="K359">
            <v>357</v>
          </cell>
          <cell r="L359">
            <v>2.5</v>
          </cell>
          <cell r="M359">
            <v>9.6</v>
          </cell>
          <cell r="N359">
            <v>2.4</v>
          </cell>
          <cell r="O359">
            <v>0.2</v>
          </cell>
          <cell r="P359">
            <v>1.2</v>
          </cell>
          <cell r="R359">
            <v>134</v>
          </cell>
          <cell r="S359">
            <v>0</v>
          </cell>
          <cell r="T359">
            <v>6.86</v>
          </cell>
          <cell r="U359">
            <v>1.57</v>
          </cell>
          <cell r="W359">
            <v>-10.08</v>
          </cell>
          <cell r="X359">
            <v>508</v>
          </cell>
          <cell r="Y359">
            <v>0</v>
          </cell>
        </row>
        <row r="360">
          <cell r="B360" t="str">
            <v>Silo 2M</v>
          </cell>
          <cell r="C360">
            <v>81130</v>
          </cell>
          <cell r="D360">
            <v>2013</v>
          </cell>
          <cell r="E360">
            <v>34</v>
          </cell>
          <cell r="F360">
            <v>74</v>
          </cell>
          <cell r="G360">
            <v>175</v>
          </cell>
          <cell r="H360">
            <v>26</v>
          </cell>
          <cell r="I360">
            <v>35</v>
          </cell>
          <cell r="J360">
            <v>202</v>
          </cell>
          <cell r="K360">
            <v>340</v>
          </cell>
          <cell r="L360">
            <v>2.5</v>
          </cell>
          <cell r="M360">
            <v>8.9</v>
          </cell>
          <cell r="N360">
            <v>1.7</v>
          </cell>
          <cell r="O360">
            <v>0.1</v>
          </cell>
          <cell r="P360">
            <v>1</v>
          </cell>
          <cell r="R360">
            <v>135</v>
          </cell>
          <cell r="S360">
            <v>0</v>
          </cell>
          <cell r="T360">
            <v>6.9</v>
          </cell>
          <cell r="U360">
            <v>1.47</v>
          </cell>
          <cell r="W360">
            <v>-9.76</v>
          </cell>
          <cell r="X360">
            <v>525</v>
          </cell>
          <cell r="Y360">
            <v>0</v>
          </cell>
        </row>
        <row r="361">
          <cell r="B361" t="str">
            <v>Silo 3</v>
          </cell>
          <cell r="C361">
            <v>81131</v>
          </cell>
          <cell r="D361">
            <v>2013</v>
          </cell>
          <cell r="E361">
            <v>36.6</v>
          </cell>
          <cell r="F361">
            <v>74</v>
          </cell>
          <cell r="G361">
            <v>182</v>
          </cell>
          <cell r="H361">
            <v>39</v>
          </cell>
          <cell r="I361">
            <v>35</v>
          </cell>
          <cell r="J361">
            <v>201</v>
          </cell>
          <cell r="K361">
            <v>332</v>
          </cell>
          <cell r="L361">
            <v>2.7</v>
          </cell>
          <cell r="M361">
            <v>8.8000000000000007</v>
          </cell>
          <cell r="N361">
            <v>1.9</v>
          </cell>
          <cell r="O361">
            <v>0.1</v>
          </cell>
          <cell r="P361">
            <v>1</v>
          </cell>
          <cell r="R361">
            <v>140</v>
          </cell>
          <cell r="S361">
            <v>0</v>
          </cell>
          <cell r="T361">
            <v>7.24</v>
          </cell>
          <cell r="U361">
            <v>1.42</v>
          </cell>
          <cell r="W361">
            <v>-10.56</v>
          </cell>
          <cell r="X361">
            <v>520</v>
          </cell>
          <cell r="Y361">
            <v>0</v>
          </cell>
        </row>
        <row r="362">
          <cell r="B362" t="str">
            <v>Silo 4</v>
          </cell>
          <cell r="C362">
            <v>81132</v>
          </cell>
          <cell r="D362">
            <v>2013</v>
          </cell>
          <cell r="E362">
            <v>34.200000000000003</v>
          </cell>
          <cell r="F362">
            <v>135</v>
          </cell>
          <cell r="G362">
            <v>321</v>
          </cell>
          <cell r="H362">
            <v>28</v>
          </cell>
          <cell r="I362">
            <v>77</v>
          </cell>
          <cell r="J362">
            <v>303</v>
          </cell>
          <cell r="K362">
            <v>457</v>
          </cell>
          <cell r="L362">
            <v>4.2</v>
          </cell>
          <cell r="M362">
            <v>16</v>
          </cell>
          <cell r="N362">
            <v>6.2</v>
          </cell>
          <cell r="O362">
            <v>1.6</v>
          </cell>
          <cell r="P362">
            <v>2.2999999999999998</v>
          </cell>
          <cell r="R362">
            <v>134</v>
          </cell>
          <cell r="S362">
            <v>0</v>
          </cell>
          <cell r="T362">
            <v>6.16</v>
          </cell>
          <cell r="U362">
            <v>2.89</v>
          </cell>
          <cell r="W362">
            <v>0.16</v>
          </cell>
          <cell r="X362">
            <v>303</v>
          </cell>
          <cell r="Y362">
            <v>0</v>
          </cell>
        </row>
        <row r="363">
          <cell r="B363" t="str">
            <v>Treber</v>
          </cell>
          <cell r="C363">
            <v>81133</v>
          </cell>
          <cell r="D363">
            <v>2013</v>
          </cell>
          <cell r="E363">
            <v>21.6</v>
          </cell>
          <cell r="F363">
            <v>259</v>
          </cell>
          <cell r="G363">
            <v>215</v>
          </cell>
          <cell r="H363">
            <v>83</v>
          </cell>
          <cell r="I363">
            <v>44</v>
          </cell>
          <cell r="J363">
            <v>289</v>
          </cell>
          <cell r="K363">
            <v>558</v>
          </cell>
          <cell r="L363">
            <v>8</v>
          </cell>
          <cell r="M363">
            <v>2</v>
          </cell>
          <cell r="N363">
            <v>3.7</v>
          </cell>
          <cell r="O363">
            <v>0.2</v>
          </cell>
          <cell r="P363">
            <v>1.3</v>
          </cell>
          <cell r="R363">
            <v>211</v>
          </cell>
          <cell r="S363">
            <v>0</v>
          </cell>
          <cell r="T363">
            <v>6.7</v>
          </cell>
          <cell r="U363">
            <v>1.05</v>
          </cell>
          <cell r="W363">
            <v>7.68</v>
          </cell>
          <cell r="X363">
            <v>56</v>
          </cell>
          <cell r="Y363">
            <v>0</v>
          </cell>
        </row>
        <row r="364">
          <cell r="B364" t="str">
            <v>WG 50/43/4/½</v>
          </cell>
          <cell r="C364">
            <v>81134</v>
          </cell>
          <cell r="D364">
            <v>2013</v>
          </cell>
          <cell r="E364">
            <v>89.4</v>
          </cell>
          <cell r="F364">
            <v>113</v>
          </cell>
          <cell r="G364">
            <v>184</v>
          </cell>
          <cell r="H364">
            <v>18</v>
          </cell>
          <cell r="I364">
            <v>60</v>
          </cell>
          <cell r="J364">
            <v>106</v>
          </cell>
          <cell r="K364">
            <v>181</v>
          </cell>
          <cell r="L364">
            <v>6.9</v>
          </cell>
          <cell r="M364">
            <v>6.5</v>
          </cell>
          <cell r="N364">
            <v>5.4</v>
          </cell>
          <cell r="O364">
            <v>5.8</v>
          </cell>
          <cell r="P364">
            <v>1.8</v>
          </cell>
          <cell r="R364">
            <v>158</v>
          </cell>
          <cell r="S364">
            <v>0</v>
          </cell>
          <cell r="T364">
            <v>8</v>
          </cell>
          <cell r="W364">
            <v>-7.2</v>
          </cell>
          <cell r="X364">
            <v>628</v>
          </cell>
          <cell r="Y364">
            <v>0</v>
          </cell>
        </row>
        <row r="365">
          <cell r="B365" t="str">
            <v>RES</v>
          </cell>
          <cell r="C365">
            <v>81135</v>
          </cell>
          <cell r="D365">
            <v>2013</v>
          </cell>
          <cell r="E365">
            <v>88.9</v>
          </cell>
          <cell r="F365">
            <v>372</v>
          </cell>
          <cell r="G365">
            <v>154</v>
          </cell>
          <cell r="H365">
            <v>24</v>
          </cell>
          <cell r="I365">
            <v>80</v>
          </cell>
          <cell r="J365">
            <v>238</v>
          </cell>
          <cell r="K365">
            <v>350</v>
          </cell>
          <cell r="L365">
            <v>1.7</v>
          </cell>
          <cell r="M365">
            <v>13.2</v>
          </cell>
          <cell r="N365">
            <v>6.9</v>
          </cell>
          <cell r="O365">
            <v>0.8</v>
          </cell>
          <cell r="P365">
            <v>4.5</v>
          </cell>
          <cell r="R365">
            <v>248</v>
          </cell>
          <cell r="S365">
            <v>0</v>
          </cell>
          <cell r="T365">
            <v>7.27</v>
          </cell>
          <cell r="W365">
            <v>19.84</v>
          </cell>
          <cell r="X365">
            <v>174</v>
          </cell>
          <cell r="Y365">
            <v>0</v>
          </cell>
        </row>
        <row r="366">
          <cell r="B366" t="str">
            <v>Heu, 2. S.</v>
          </cell>
          <cell r="C366">
            <v>81136</v>
          </cell>
          <cell r="D366">
            <v>2013</v>
          </cell>
          <cell r="E366">
            <v>90.6</v>
          </cell>
          <cell r="F366">
            <v>133</v>
          </cell>
          <cell r="G366">
            <v>307</v>
          </cell>
          <cell r="H366">
            <v>30</v>
          </cell>
          <cell r="I366">
            <v>107</v>
          </cell>
          <cell r="J366">
            <v>317</v>
          </cell>
          <cell r="K366">
            <v>467</v>
          </cell>
          <cell r="L366">
            <v>5.8</v>
          </cell>
          <cell r="M366">
            <v>29.9</v>
          </cell>
          <cell r="N366">
            <v>4.4000000000000004</v>
          </cell>
          <cell r="O366">
            <v>0.6</v>
          </cell>
          <cell r="P366">
            <v>1.4</v>
          </cell>
          <cell r="R366">
            <v>139</v>
          </cell>
          <cell r="S366">
            <v>0</v>
          </cell>
          <cell r="T366">
            <v>6.13</v>
          </cell>
          <cell r="U366">
            <v>2.95</v>
          </cell>
          <cell r="W366">
            <v>-0.96</v>
          </cell>
          <cell r="X366">
            <v>263</v>
          </cell>
          <cell r="Y366">
            <v>0</v>
          </cell>
        </row>
        <row r="367">
          <cell r="B367" t="str">
            <v>Stroh, Gerste</v>
          </cell>
          <cell r="C367">
            <v>81137</v>
          </cell>
          <cell r="D367">
            <v>2013</v>
          </cell>
          <cell r="E367">
            <v>91.5</v>
          </cell>
          <cell r="F367">
            <v>28</v>
          </cell>
          <cell r="G367">
            <v>488</v>
          </cell>
          <cell r="H367">
            <v>15</v>
          </cell>
          <cell r="I367">
            <v>52</v>
          </cell>
          <cell r="J367">
            <v>534</v>
          </cell>
          <cell r="K367">
            <v>773</v>
          </cell>
          <cell r="L367">
            <v>1</v>
          </cell>
          <cell r="M367">
            <v>12.9</v>
          </cell>
          <cell r="N367">
            <v>3.5</v>
          </cell>
          <cell r="O367">
            <v>0.2</v>
          </cell>
          <cell r="P367">
            <v>0.2</v>
          </cell>
          <cell r="R367">
            <v>74</v>
          </cell>
          <cell r="S367">
            <v>0</v>
          </cell>
          <cell r="T367">
            <v>3.78</v>
          </cell>
          <cell r="U367">
            <v>4.3</v>
          </cell>
          <cell r="W367">
            <v>-7.36</v>
          </cell>
          <cell r="X367">
            <v>132</v>
          </cell>
          <cell r="Y367">
            <v>0</v>
          </cell>
        </row>
        <row r="368">
          <cell r="B368" t="str">
            <v>Treber</v>
          </cell>
          <cell r="C368">
            <v>81138</v>
          </cell>
          <cell r="D368">
            <v>2013</v>
          </cell>
          <cell r="E368">
            <v>23.4</v>
          </cell>
          <cell r="F368">
            <v>258</v>
          </cell>
          <cell r="G368">
            <v>225</v>
          </cell>
          <cell r="H368">
            <v>96</v>
          </cell>
          <cell r="I368">
            <v>47</v>
          </cell>
          <cell r="J368">
            <v>287</v>
          </cell>
          <cell r="K368">
            <v>577</v>
          </cell>
          <cell r="L368">
            <v>9.5</v>
          </cell>
          <cell r="M368">
            <v>1.5</v>
          </cell>
          <cell r="N368">
            <v>4.9000000000000004</v>
          </cell>
          <cell r="O368">
            <v>0.1</v>
          </cell>
          <cell r="P368">
            <v>1.9</v>
          </cell>
          <cell r="R368">
            <v>212</v>
          </cell>
          <cell r="S368">
            <v>0</v>
          </cell>
          <cell r="T368">
            <v>6.8</v>
          </cell>
          <cell r="U368">
            <v>1.05</v>
          </cell>
          <cell r="W368">
            <v>7.36</v>
          </cell>
          <cell r="X368">
            <v>22</v>
          </cell>
          <cell r="Y368">
            <v>0</v>
          </cell>
        </row>
        <row r="369">
          <cell r="B369" t="str">
            <v>Silo 3</v>
          </cell>
          <cell r="C369">
            <v>81139</v>
          </cell>
          <cell r="D369">
            <v>2012</v>
          </cell>
          <cell r="E369">
            <v>38.1</v>
          </cell>
          <cell r="F369">
            <v>87</v>
          </cell>
          <cell r="G369">
            <v>175</v>
          </cell>
          <cell r="H369">
            <v>44</v>
          </cell>
          <cell r="I369">
            <v>34</v>
          </cell>
          <cell r="J369">
            <v>210</v>
          </cell>
          <cell r="K369">
            <v>353</v>
          </cell>
          <cell r="L369">
            <v>3.3</v>
          </cell>
          <cell r="M369">
            <v>8.8000000000000007</v>
          </cell>
          <cell r="N369">
            <v>1.9</v>
          </cell>
          <cell r="O369">
            <v>0.1</v>
          </cell>
          <cell r="P369">
            <v>1</v>
          </cell>
          <cell r="R369">
            <v>144</v>
          </cell>
          <cell r="S369">
            <v>0</v>
          </cell>
          <cell r="T369">
            <v>7.32</v>
          </cell>
          <cell r="U369">
            <v>1.55</v>
          </cell>
          <cell r="V369">
            <v>4</v>
          </cell>
          <cell r="W369">
            <v>-9.1199999999999992</v>
          </cell>
          <cell r="X369">
            <v>482</v>
          </cell>
          <cell r="Y369">
            <v>0</v>
          </cell>
        </row>
        <row r="370">
          <cell r="B370" t="str">
            <v>Silo 4</v>
          </cell>
          <cell r="C370">
            <v>81140</v>
          </cell>
          <cell r="D370">
            <v>2013</v>
          </cell>
          <cell r="E370">
            <v>23.3</v>
          </cell>
          <cell r="F370">
            <v>126</v>
          </cell>
          <cell r="G370">
            <v>314</v>
          </cell>
          <cell r="H370">
            <v>32</v>
          </cell>
          <cell r="I370">
            <v>114</v>
          </cell>
          <cell r="J370">
            <v>319</v>
          </cell>
          <cell r="K370">
            <v>492</v>
          </cell>
          <cell r="L370">
            <v>5</v>
          </cell>
          <cell r="M370">
            <v>26.1</v>
          </cell>
          <cell r="N370">
            <v>5.8</v>
          </cell>
          <cell r="O370">
            <v>0.7</v>
          </cell>
          <cell r="P370">
            <v>1.9</v>
          </cell>
          <cell r="R370">
            <v>128</v>
          </cell>
          <cell r="S370">
            <v>0</v>
          </cell>
          <cell r="T370">
            <v>5.9</v>
          </cell>
          <cell r="U370">
            <v>3.1</v>
          </cell>
          <cell r="V370">
            <v>28</v>
          </cell>
          <cell r="W370">
            <v>-0.32</v>
          </cell>
          <cell r="X370">
            <v>236</v>
          </cell>
          <cell r="Y370">
            <v>0</v>
          </cell>
        </row>
        <row r="371">
          <cell r="B371" t="str">
            <v>WG 50/43/4/1/2</v>
          </cell>
          <cell r="C371">
            <v>81141</v>
          </cell>
          <cell r="D371">
            <v>2013</v>
          </cell>
          <cell r="E371">
            <v>89.2</v>
          </cell>
          <cell r="F371">
            <v>119</v>
          </cell>
          <cell r="G371">
            <v>163</v>
          </cell>
          <cell r="H371">
            <v>19</v>
          </cell>
          <cell r="I371">
            <v>87</v>
          </cell>
          <cell r="J371">
            <v>46</v>
          </cell>
          <cell r="K371">
            <v>144</v>
          </cell>
          <cell r="L371">
            <v>9.8000000000000007</v>
          </cell>
          <cell r="M371">
            <v>6.6</v>
          </cell>
          <cell r="N371">
            <v>13.8</v>
          </cell>
          <cell r="O371">
            <v>5.6</v>
          </cell>
          <cell r="P371">
            <v>3.4</v>
          </cell>
          <cell r="R371">
            <v>156</v>
          </cell>
          <cell r="S371">
            <v>0</v>
          </cell>
          <cell r="T371">
            <v>8.0399999999999991</v>
          </cell>
          <cell r="W371">
            <v>-5.92</v>
          </cell>
          <cell r="X371">
            <v>631</v>
          </cell>
          <cell r="Y371">
            <v>0</v>
          </cell>
        </row>
        <row r="372">
          <cell r="B372" t="str">
            <v>RES</v>
          </cell>
          <cell r="C372">
            <v>81142</v>
          </cell>
          <cell r="D372">
            <v>2013</v>
          </cell>
          <cell r="E372">
            <v>87.7</v>
          </cell>
          <cell r="F372">
            <v>384</v>
          </cell>
          <cell r="G372">
            <v>154</v>
          </cell>
          <cell r="H372">
            <v>17</v>
          </cell>
          <cell r="I372">
            <v>78</v>
          </cell>
          <cell r="J372">
            <v>224</v>
          </cell>
          <cell r="K372">
            <v>329</v>
          </cell>
          <cell r="L372">
            <v>16.899999999999999</v>
          </cell>
          <cell r="M372">
            <v>14.5</v>
          </cell>
          <cell r="N372">
            <v>9.1</v>
          </cell>
          <cell r="O372">
            <v>0.05</v>
          </cell>
          <cell r="P372">
            <v>4.2</v>
          </cell>
          <cell r="R372">
            <v>252</v>
          </cell>
          <cell r="S372">
            <v>0</v>
          </cell>
          <cell r="T372">
            <v>7.25</v>
          </cell>
          <cell r="W372">
            <v>21.12</v>
          </cell>
          <cell r="X372">
            <v>192</v>
          </cell>
          <cell r="Y372">
            <v>0</v>
          </cell>
        </row>
        <row r="373">
          <cell r="B373" t="str">
            <v>Heu, 2. S.</v>
          </cell>
          <cell r="C373">
            <v>81143</v>
          </cell>
          <cell r="D373">
            <v>2013</v>
          </cell>
          <cell r="E373">
            <v>90.7</v>
          </cell>
          <cell r="F373">
            <v>143</v>
          </cell>
          <cell r="G373">
            <v>300</v>
          </cell>
          <cell r="H373">
            <v>24</v>
          </cell>
          <cell r="I373">
            <v>83</v>
          </cell>
          <cell r="J373">
            <v>307</v>
          </cell>
          <cell r="K373">
            <v>490</v>
          </cell>
          <cell r="L373">
            <v>5</v>
          </cell>
          <cell r="M373">
            <v>26</v>
          </cell>
          <cell r="N373">
            <v>4.3</v>
          </cell>
          <cell r="O373">
            <v>1.3</v>
          </cell>
          <cell r="P373">
            <v>1.9</v>
          </cell>
          <cell r="R373">
            <v>140</v>
          </cell>
          <cell r="S373">
            <v>0</v>
          </cell>
          <cell r="T373">
            <v>5.97</v>
          </cell>
          <cell r="U373">
            <v>3.09</v>
          </cell>
          <cell r="W373">
            <v>0.48</v>
          </cell>
          <cell r="X373">
            <v>260</v>
          </cell>
          <cell r="Y373">
            <v>0</v>
          </cell>
        </row>
        <row r="374">
          <cell r="B374" t="str">
            <v>Stroh, Gerste</v>
          </cell>
          <cell r="C374">
            <v>81144</v>
          </cell>
          <cell r="D374">
            <v>2013</v>
          </cell>
          <cell r="E374">
            <v>92.1</v>
          </cell>
          <cell r="F374">
            <v>32</v>
          </cell>
          <cell r="G374">
            <v>479</v>
          </cell>
          <cell r="H374">
            <v>14</v>
          </cell>
          <cell r="I374">
            <v>47</v>
          </cell>
          <cell r="J374">
            <v>528</v>
          </cell>
          <cell r="K374">
            <v>778</v>
          </cell>
          <cell r="L374">
            <v>1.1000000000000001</v>
          </cell>
          <cell r="M374">
            <v>14.8</v>
          </cell>
          <cell r="N374">
            <v>2.8</v>
          </cell>
          <cell r="O374">
            <v>0.2</v>
          </cell>
          <cell r="P374">
            <v>0.2</v>
          </cell>
          <cell r="R374">
            <v>76</v>
          </cell>
          <cell r="S374">
            <v>0</v>
          </cell>
          <cell r="T374">
            <v>3.81</v>
          </cell>
          <cell r="W374">
            <v>-7.04</v>
          </cell>
          <cell r="X374">
            <v>129</v>
          </cell>
          <cell r="Y374">
            <v>0</v>
          </cell>
        </row>
        <row r="375">
          <cell r="B375" t="str">
            <v>Treber</v>
          </cell>
          <cell r="C375">
            <v>81145</v>
          </cell>
          <cell r="D375">
            <v>2013</v>
          </cell>
          <cell r="E375">
            <v>21.7</v>
          </cell>
          <cell r="F375">
            <v>227</v>
          </cell>
          <cell r="G375">
            <v>206</v>
          </cell>
          <cell r="H375">
            <v>81</v>
          </cell>
          <cell r="I375">
            <v>45</v>
          </cell>
          <cell r="J375">
            <v>266</v>
          </cell>
          <cell r="K375">
            <v>577</v>
          </cell>
          <cell r="L375">
            <v>7.7</v>
          </cell>
          <cell r="M375">
            <v>2.1</v>
          </cell>
          <cell r="N375">
            <v>4</v>
          </cell>
          <cell r="O375">
            <v>0.2</v>
          </cell>
          <cell r="P375">
            <v>1.4</v>
          </cell>
          <cell r="R375">
            <v>196</v>
          </cell>
          <cell r="S375">
            <v>0</v>
          </cell>
          <cell r="T375">
            <v>6.64</v>
          </cell>
          <cell r="V375">
            <v>0</v>
          </cell>
          <cell r="W375">
            <v>4.96</v>
          </cell>
          <cell r="X375">
            <v>70</v>
          </cell>
          <cell r="Y375">
            <v>0</v>
          </cell>
        </row>
        <row r="376">
          <cell r="B376" t="str">
            <v>Pressschnitzel</v>
          </cell>
          <cell r="C376">
            <v>81146</v>
          </cell>
          <cell r="D376">
            <v>2013</v>
          </cell>
          <cell r="E376">
            <v>29.6</v>
          </cell>
          <cell r="F376">
            <v>86</v>
          </cell>
          <cell r="G376">
            <v>216</v>
          </cell>
          <cell r="H376">
            <v>5</v>
          </cell>
          <cell r="I376">
            <v>10</v>
          </cell>
          <cell r="J376">
            <v>227</v>
          </cell>
          <cell r="K376">
            <v>484</v>
          </cell>
          <cell r="L376">
            <v>1.3</v>
          </cell>
          <cell r="M376">
            <v>4.5</v>
          </cell>
          <cell r="N376">
            <v>10.1</v>
          </cell>
          <cell r="O376">
            <v>0.2</v>
          </cell>
          <cell r="P376">
            <v>1.7</v>
          </cell>
          <cell r="R376">
            <v>139</v>
          </cell>
          <cell r="S376">
            <v>0</v>
          </cell>
          <cell r="T376">
            <v>7.11</v>
          </cell>
          <cell r="W376">
            <v>-8.48</v>
          </cell>
          <cell r="X376">
            <v>415</v>
          </cell>
          <cell r="Y376">
            <v>0</v>
          </cell>
        </row>
        <row r="377">
          <cell r="B377" t="str">
            <v>Pressschnitzel</v>
          </cell>
          <cell r="C377">
            <v>81147</v>
          </cell>
          <cell r="D377">
            <v>2013</v>
          </cell>
          <cell r="E377">
            <v>30.7</v>
          </cell>
          <cell r="F377">
            <v>79</v>
          </cell>
          <cell r="G377">
            <v>207</v>
          </cell>
          <cell r="H377">
            <v>6</v>
          </cell>
          <cell r="I377">
            <v>11</v>
          </cell>
          <cell r="J377">
            <v>225</v>
          </cell>
          <cell r="K377">
            <v>444</v>
          </cell>
          <cell r="L377">
            <v>1.3</v>
          </cell>
          <cell r="M377">
            <v>3.8</v>
          </cell>
          <cell r="N377">
            <v>11.8</v>
          </cell>
          <cell r="O377">
            <v>0.3</v>
          </cell>
          <cell r="P377">
            <v>2.2999999999999998</v>
          </cell>
          <cell r="R377">
            <v>136</v>
          </cell>
          <cell r="S377">
            <v>0</v>
          </cell>
          <cell r="T377">
            <v>7.05</v>
          </cell>
          <cell r="W377">
            <v>-9.1199999999999992</v>
          </cell>
          <cell r="X377">
            <v>460</v>
          </cell>
          <cell r="Y377">
            <v>0</v>
          </cell>
        </row>
        <row r="378">
          <cell r="B378" t="str">
            <v>Treber</v>
          </cell>
          <cell r="C378">
            <v>81148</v>
          </cell>
          <cell r="D378">
            <v>2013</v>
          </cell>
          <cell r="E378">
            <v>25.1</v>
          </cell>
          <cell r="F378">
            <v>224</v>
          </cell>
          <cell r="G378">
            <v>221</v>
          </cell>
          <cell r="H378">
            <v>77</v>
          </cell>
          <cell r="I378">
            <v>47</v>
          </cell>
          <cell r="J378">
            <v>275</v>
          </cell>
          <cell r="K378">
            <v>572</v>
          </cell>
          <cell r="L378">
            <v>9.4</v>
          </cell>
          <cell r="M378">
            <v>2.2999999999999998</v>
          </cell>
          <cell r="N378">
            <v>5</v>
          </cell>
          <cell r="O378">
            <v>0.1</v>
          </cell>
          <cell r="P378">
            <v>3</v>
          </cell>
          <cell r="R378">
            <v>194</v>
          </cell>
          <cell r="S378">
            <v>0</v>
          </cell>
          <cell r="T378">
            <v>6.58</v>
          </cell>
          <cell r="W378">
            <v>4.8</v>
          </cell>
          <cell r="X378">
            <v>80</v>
          </cell>
          <cell r="Y378">
            <v>0</v>
          </cell>
        </row>
        <row r="379">
          <cell r="B379" t="str">
            <v>RES</v>
          </cell>
          <cell r="C379">
            <v>81149</v>
          </cell>
          <cell r="D379">
            <v>2013</v>
          </cell>
          <cell r="E379">
            <v>87.9</v>
          </cell>
          <cell r="F379">
            <v>387</v>
          </cell>
          <cell r="G379">
            <v>163</v>
          </cell>
          <cell r="H379">
            <v>18</v>
          </cell>
          <cell r="I379">
            <v>75</v>
          </cell>
          <cell r="J379">
            <v>237</v>
          </cell>
          <cell r="K379">
            <v>314</v>
          </cell>
          <cell r="L379">
            <v>16.600000000000001</v>
          </cell>
          <cell r="M379">
            <v>14.9</v>
          </cell>
          <cell r="N379">
            <v>8.1999999999999993</v>
          </cell>
          <cell r="O379">
            <v>0.3</v>
          </cell>
          <cell r="P379">
            <v>4.9000000000000004</v>
          </cell>
          <cell r="R379">
            <v>253</v>
          </cell>
          <cell r="S379">
            <v>0</v>
          </cell>
          <cell r="T379">
            <v>7.27</v>
          </cell>
          <cell r="W379">
            <v>21.44</v>
          </cell>
          <cell r="X379">
            <v>206</v>
          </cell>
          <cell r="Y379">
            <v>0</v>
          </cell>
        </row>
        <row r="380">
          <cell r="B380" t="str">
            <v>Silo 3</v>
          </cell>
          <cell r="C380">
            <v>81150</v>
          </cell>
          <cell r="D380">
            <v>2013</v>
          </cell>
          <cell r="E380">
            <v>36.4</v>
          </cell>
          <cell r="F380">
            <v>84</v>
          </cell>
          <cell r="G380">
            <v>149</v>
          </cell>
          <cell r="H380">
            <v>43</v>
          </cell>
          <cell r="I380">
            <v>40</v>
          </cell>
          <cell r="J380">
            <v>192</v>
          </cell>
          <cell r="K380">
            <v>332</v>
          </cell>
          <cell r="L380">
            <v>3.2</v>
          </cell>
          <cell r="M380">
            <v>11.3</v>
          </cell>
          <cell r="N380">
            <v>2.2000000000000002</v>
          </cell>
          <cell r="O380">
            <v>0.1</v>
          </cell>
          <cell r="P380">
            <v>1.4</v>
          </cell>
          <cell r="R380">
            <v>143</v>
          </cell>
          <cell r="S380">
            <v>0</v>
          </cell>
          <cell r="T380">
            <v>7.33</v>
          </cell>
          <cell r="U380">
            <v>1.42</v>
          </cell>
          <cell r="W380">
            <v>-9.44</v>
          </cell>
          <cell r="X380">
            <v>501</v>
          </cell>
          <cell r="Y380">
            <v>0</v>
          </cell>
        </row>
        <row r="381">
          <cell r="B381" t="str">
            <v>Silo 4</v>
          </cell>
          <cell r="C381">
            <v>81151</v>
          </cell>
          <cell r="D381">
            <v>2013</v>
          </cell>
          <cell r="E381">
            <v>26.6</v>
          </cell>
          <cell r="F381">
            <v>143</v>
          </cell>
          <cell r="G381">
            <v>287</v>
          </cell>
          <cell r="H381">
            <v>39</v>
          </cell>
          <cell r="I381">
            <v>88</v>
          </cell>
          <cell r="J381">
            <v>324</v>
          </cell>
          <cell r="K381">
            <v>482</v>
          </cell>
          <cell r="L381">
            <v>4.9000000000000004</v>
          </cell>
          <cell r="M381">
            <v>23.9</v>
          </cell>
          <cell r="N381">
            <v>7.1</v>
          </cell>
          <cell r="O381">
            <v>2.1</v>
          </cell>
          <cell r="P381">
            <v>2.2000000000000002</v>
          </cell>
          <cell r="R381">
            <v>133</v>
          </cell>
          <cell r="S381">
            <v>0</v>
          </cell>
          <cell r="T381">
            <v>6.03</v>
          </cell>
          <cell r="U381">
            <v>3.04</v>
          </cell>
          <cell r="W381">
            <v>1.6</v>
          </cell>
          <cell r="X381">
            <v>248</v>
          </cell>
          <cell r="Y381">
            <v>0</v>
          </cell>
        </row>
        <row r="382">
          <cell r="B382" t="str">
            <v>Treber</v>
          </cell>
          <cell r="C382">
            <v>81152</v>
          </cell>
          <cell r="D382">
            <v>2013</v>
          </cell>
          <cell r="E382">
            <v>21.8</v>
          </cell>
          <cell r="F382">
            <v>222</v>
          </cell>
          <cell r="G382">
            <v>202</v>
          </cell>
          <cell r="H382">
            <v>74</v>
          </cell>
          <cell r="I382">
            <v>42</v>
          </cell>
          <cell r="J382">
            <v>286</v>
          </cell>
          <cell r="K382">
            <v>557</v>
          </cell>
          <cell r="L382">
            <v>8.3000000000000007</v>
          </cell>
          <cell r="M382">
            <v>3.1</v>
          </cell>
          <cell r="N382">
            <v>4</v>
          </cell>
          <cell r="O382">
            <v>1.2</v>
          </cell>
          <cell r="P382">
            <v>2.1</v>
          </cell>
          <cell r="R382">
            <v>194</v>
          </cell>
          <cell r="S382">
            <v>0</v>
          </cell>
          <cell r="T382">
            <v>6.6</v>
          </cell>
          <cell r="W382">
            <v>4.4800000000000004</v>
          </cell>
          <cell r="X382">
            <v>105</v>
          </cell>
          <cell r="Y382">
            <v>0</v>
          </cell>
        </row>
        <row r="383">
          <cell r="B383" t="str">
            <v>WG 50/44/4,5/1/0,5</v>
          </cell>
          <cell r="C383">
            <v>81153</v>
          </cell>
          <cell r="D383">
            <v>2013</v>
          </cell>
          <cell r="E383">
            <v>90.3</v>
          </cell>
          <cell r="F383">
            <v>121</v>
          </cell>
          <cell r="G383">
            <v>56</v>
          </cell>
          <cell r="H383">
            <v>18</v>
          </cell>
          <cell r="I383">
            <v>73</v>
          </cell>
          <cell r="J383">
            <v>115</v>
          </cell>
          <cell r="K383">
            <v>161</v>
          </cell>
          <cell r="L383">
            <v>7.4</v>
          </cell>
          <cell r="M383">
            <v>8.1999999999999993</v>
          </cell>
          <cell r="N383">
            <v>9.3000000000000007</v>
          </cell>
          <cell r="O383">
            <v>8.3000000000000007</v>
          </cell>
          <cell r="P383">
            <v>2.5</v>
          </cell>
          <cell r="R383">
            <v>161</v>
          </cell>
          <cell r="S383">
            <v>0</v>
          </cell>
          <cell r="T383">
            <v>8.17</v>
          </cell>
          <cell r="W383">
            <v>-6.4</v>
          </cell>
          <cell r="X383">
            <v>627</v>
          </cell>
          <cell r="Y383">
            <v>0</v>
          </cell>
        </row>
        <row r="384">
          <cell r="B384" t="str">
            <v>RES</v>
          </cell>
          <cell r="C384">
            <v>81154</v>
          </cell>
          <cell r="D384">
            <v>2013</v>
          </cell>
          <cell r="E384">
            <v>88.2</v>
          </cell>
          <cell r="F384">
            <v>378</v>
          </cell>
          <cell r="G384">
            <v>159</v>
          </cell>
          <cell r="H384">
            <v>25</v>
          </cell>
          <cell r="I384">
            <v>80</v>
          </cell>
          <cell r="J384">
            <v>235</v>
          </cell>
          <cell r="K384">
            <v>316</v>
          </cell>
          <cell r="L384">
            <v>16.8</v>
          </cell>
          <cell r="M384">
            <v>16.899999999999999</v>
          </cell>
          <cell r="N384">
            <v>8.6999999999999993</v>
          </cell>
          <cell r="O384">
            <v>1</v>
          </cell>
          <cell r="P384">
            <v>4.8</v>
          </cell>
          <cell r="R384">
            <v>250</v>
          </cell>
          <cell r="S384">
            <v>0</v>
          </cell>
          <cell r="T384">
            <v>7.29</v>
          </cell>
          <cell r="W384">
            <v>20.48</v>
          </cell>
          <cell r="X384">
            <v>201</v>
          </cell>
          <cell r="Y384">
            <v>0</v>
          </cell>
        </row>
        <row r="385">
          <cell r="B385" t="str">
            <v>Heu, 2. S.</v>
          </cell>
          <cell r="C385">
            <v>81155</v>
          </cell>
          <cell r="D385">
            <v>2013</v>
          </cell>
          <cell r="E385">
            <v>92</v>
          </cell>
          <cell r="F385">
            <v>154</v>
          </cell>
          <cell r="G385">
            <v>296</v>
          </cell>
          <cell r="H385">
            <v>22</v>
          </cell>
          <cell r="I385">
            <v>84</v>
          </cell>
          <cell r="J385">
            <v>328</v>
          </cell>
          <cell r="K385">
            <v>488</v>
          </cell>
          <cell r="L385">
            <v>5.3</v>
          </cell>
          <cell r="M385">
            <v>27.6</v>
          </cell>
          <cell r="N385">
            <v>5.5</v>
          </cell>
          <cell r="O385">
            <v>2</v>
          </cell>
          <cell r="P385">
            <v>2.1</v>
          </cell>
          <cell r="R385">
            <v>141</v>
          </cell>
          <cell r="S385">
            <v>0</v>
          </cell>
          <cell r="T385">
            <v>5.9</v>
          </cell>
          <cell r="U385">
            <v>3.08</v>
          </cell>
          <cell r="W385">
            <v>2.08</v>
          </cell>
          <cell r="X385">
            <v>252</v>
          </cell>
          <cell r="Y385">
            <v>0</v>
          </cell>
        </row>
        <row r="386">
          <cell r="B386" t="str">
            <v>Stroh, Gerste</v>
          </cell>
          <cell r="C386">
            <v>81156</v>
          </cell>
          <cell r="D386">
            <v>2013</v>
          </cell>
          <cell r="E386">
            <v>93.1</v>
          </cell>
          <cell r="F386">
            <v>35</v>
          </cell>
          <cell r="G386">
            <v>480</v>
          </cell>
          <cell r="H386">
            <v>9</v>
          </cell>
          <cell r="I386">
            <v>65</v>
          </cell>
          <cell r="J386">
            <v>543</v>
          </cell>
          <cell r="K386">
            <v>788</v>
          </cell>
          <cell r="L386">
            <v>1.4</v>
          </cell>
          <cell r="M386">
            <v>21</v>
          </cell>
          <cell r="N386">
            <v>4.2</v>
          </cell>
          <cell r="O386">
            <v>0.5</v>
          </cell>
          <cell r="P386">
            <v>0.8</v>
          </cell>
          <cell r="R386">
            <v>76</v>
          </cell>
          <cell r="S386">
            <v>0</v>
          </cell>
          <cell r="T386">
            <v>3.7</v>
          </cell>
          <cell r="W386">
            <v>-6.56</v>
          </cell>
          <cell r="X386">
            <v>103</v>
          </cell>
          <cell r="Y386">
            <v>0</v>
          </cell>
        </row>
        <row r="387">
          <cell r="B387" t="str">
            <v>Silo 1</v>
          </cell>
          <cell r="C387">
            <v>81159</v>
          </cell>
          <cell r="D387">
            <v>2013</v>
          </cell>
          <cell r="E387">
            <v>36.9</v>
          </cell>
          <cell r="F387">
            <v>174</v>
          </cell>
          <cell r="G387">
            <v>311</v>
          </cell>
          <cell r="H387">
            <v>31</v>
          </cell>
          <cell r="I387">
            <v>101</v>
          </cell>
          <cell r="J387">
            <v>294</v>
          </cell>
          <cell r="K387">
            <v>384</v>
          </cell>
          <cell r="L387">
            <v>4.8</v>
          </cell>
          <cell r="M387">
            <v>15.7</v>
          </cell>
          <cell r="N387">
            <v>10.3</v>
          </cell>
          <cell r="O387">
            <v>3.6</v>
          </cell>
          <cell r="P387">
            <v>4.3</v>
          </cell>
          <cell r="R387">
            <v>141</v>
          </cell>
          <cell r="S387">
            <v>0</v>
          </cell>
          <cell r="T387">
            <v>6.27</v>
          </cell>
          <cell r="U387">
            <v>2.46</v>
          </cell>
          <cell r="V387">
            <v>32</v>
          </cell>
          <cell r="W387">
            <v>5.28</v>
          </cell>
          <cell r="X387">
            <v>310</v>
          </cell>
          <cell r="Y387">
            <v>0</v>
          </cell>
        </row>
        <row r="388">
          <cell r="B388" t="str">
            <v>Mais</v>
          </cell>
          <cell r="C388">
            <v>81160</v>
          </cell>
          <cell r="D388">
            <v>2013</v>
          </cell>
          <cell r="E388">
            <v>90</v>
          </cell>
          <cell r="F388">
            <v>76</v>
          </cell>
          <cell r="G388">
            <v>53</v>
          </cell>
          <cell r="H388">
            <v>39</v>
          </cell>
          <cell r="I388">
            <v>33</v>
          </cell>
          <cell r="J388">
            <v>58</v>
          </cell>
          <cell r="K388">
            <v>141</v>
          </cell>
          <cell r="L388">
            <v>2.8</v>
          </cell>
          <cell r="M388">
            <v>9.6999999999999993</v>
          </cell>
          <cell r="N388">
            <v>2.8</v>
          </cell>
          <cell r="O388">
            <v>0.1</v>
          </cell>
          <cell r="P388">
            <v>1.1000000000000001</v>
          </cell>
          <cell r="R388">
            <v>144</v>
          </cell>
          <cell r="S388">
            <v>0</v>
          </cell>
          <cell r="T388">
            <v>-11</v>
          </cell>
          <cell r="W388">
            <v>-10.88</v>
          </cell>
          <cell r="X388">
            <v>711</v>
          </cell>
          <cell r="Y388">
            <v>0</v>
          </cell>
        </row>
        <row r="389">
          <cell r="B389" t="str">
            <v>Silo 4</v>
          </cell>
          <cell r="C389">
            <v>81162</v>
          </cell>
          <cell r="D389">
            <v>2013</v>
          </cell>
          <cell r="E389">
            <v>27.2</v>
          </cell>
          <cell r="F389">
            <v>154</v>
          </cell>
          <cell r="G389">
            <v>300</v>
          </cell>
          <cell r="H389">
            <v>36</v>
          </cell>
          <cell r="I389">
            <v>90</v>
          </cell>
          <cell r="J389">
            <v>315</v>
          </cell>
          <cell r="K389">
            <v>456</v>
          </cell>
          <cell r="L389">
            <v>5.9</v>
          </cell>
          <cell r="M389">
            <v>21.1</v>
          </cell>
          <cell r="N389">
            <v>6.7</v>
          </cell>
          <cell r="O389">
            <v>2.1</v>
          </cell>
          <cell r="P389">
            <v>2.2000000000000002</v>
          </cell>
          <cell r="R389">
            <v>135</v>
          </cell>
          <cell r="S389">
            <v>0</v>
          </cell>
          <cell r="T389">
            <v>6.08</v>
          </cell>
          <cell r="U389">
            <v>2.88</v>
          </cell>
          <cell r="V389">
            <v>31</v>
          </cell>
          <cell r="W389">
            <v>3.04</v>
          </cell>
          <cell r="X389">
            <v>264</v>
          </cell>
          <cell r="Y389">
            <v>0</v>
          </cell>
        </row>
        <row r="390">
          <cell r="B390" t="str">
            <v>Silo 2</v>
          </cell>
          <cell r="C390">
            <v>81162</v>
          </cell>
          <cell r="D390">
            <v>2013</v>
          </cell>
          <cell r="E390">
            <v>35</v>
          </cell>
          <cell r="F390">
            <v>78</v>
          </cell>
          <cell r="G390">
            <v>199</v>
          </cell>
          <cell r="H390">
            <v>34</v>
          </cell>
          <cell r="I390">
            <v>41</v>
          </cell>
          <cell r="J390">
            <v>211</v>
          </cell>
          <cell r="K390">
            <v>408</v>
          </cell>
          <cell r="L390">
            <v>2.7</v>
          </cell>
          <cell r="M390">
            <v>12.3</v>
          </cell>
          <cell r="N390">
            <v>2.8</v>
          </cell>
          <cell r="O390">
            <v>0.1</v>
          </cell>
          <cell r="P390">
            <v>1.2</v>
          </cell>
          <cell r="R390">
            <v>133</v>
          </cell>
          <cell r="S390">
            <v>0</v>
          </cell>
          <cell r="T390">
            <v>-8.8000000000000007</v>
          </cell>
          <cell r="W390">
            <v>-8.8000000000000007</v>
          </cell>
          <cell r="X390">
            <v>439</v>
          </cell>
          <cell r="Y390">
            <v>0</v>
          </cell>
        </row>
        <row r="391">
          <cell r="B391" t="str">
            <v>Treber</v>
          </cell>
          <cell r="C391">
            <v>81163</v>
          </cell>
          <cell r="D391">
            <v>2013</v>
          </cell>
          <cell r="E391">
            <v>22.8</v>
          </cell>
          <cell r="F391">
            <v>227</v>
          </cell>
          <cell r="G391">
            <v>206</v>
          </cell>
          <cell r="H391">
            <v>74</v>
          </cell>
          <cell r="I391">
            <v>45</v>
          </cell>
          <cell r="J391">
            <v>279</v>
          </cell>
          <cell r="K391">
            <v>555</v>
          </cell>
          <cell r="L391">
            <v>8.6</v>
          </cell>
          <cell r="M391">
            <v>3.4</v>
          </cell>
          <cell r="N391">
            <v>3.8</v>
          </cell>
          <cell r="O391">
            <v>0.2</v>
          </cell>
          <cell r="P391">
            <v>2.2999999999999998</v>
          </cell>
          <cell r="R391">
            <v>196</v>
          </cell>
          <cell r="S391">
            <v>0</v>
          </cell>
          <cell r="T391">
            <v>6.58</v>
          </cell>
          <cell r="V391">
            <v>16</v>
          </cell>
          <cell r="W391">
            <v>4.96</v>
          </cell>
          <cell r="X391">
            <v>99</v>
          </cell>
          <cell r="Y391">
            <v>0</v>
          </cell>
        </row>
        <row r="392">
          <cell r="B392" t="str">
            <v>WG 50/44/4,5/1/0,5</v>
          </cell>
          <cell r="C392">
            <v>81164</v>
          </cell>
          <cell r="D392">
            <v>2013</v>
          </cell>
          <cell r="E392">
            <v>89.2</v>
          </cell>
          <cell r="F392">
            <v>120</v>
          </cell>
          <cell r="G392">
            <v>56</v>
          </cell>
          <cell r="H392">
            <v>16</v>
          </cell>
          <cell r="I392">
            <v>28</v>
          </cell>
          <cell r="J392">
            <v>69</v>
          </cell>
          <cell r="K392">
            <v>147</v>
          </cell>
          <cell r="L392">
            <v>5.2</v>
          </cell>
          <cell r="M392">
            <v>7.6</v>
          </cell>
          <cell r="N392">
            <v>2.1</v>
          </cell>
          <cell r="O392">
            <v>1.1000000000000001</v>
          </cell>
          <cell r="P392">
            <v>1.2</v>
          </cell>
          <cell r="R392">
            <v>170</v>
          </cell>
          <cell r="S392">
            <v>0</v>
          </cell>
          <cell r="T392">
            <v>8.7899999999999991</v>
          </cell>
          <cell r="W392">
            <v>-8</v>
          </cell>
          <cell r="X392">
            <v>689</v>
          </cell>
          <cell r="Y392">
            <v>0</v>
          </cell>
        </row>
        <row r="393">
          <cell r="B393" t="str">
            <v>RES</v>
          </cell>
          <cell r="C393">
            <v>81165</v>
          </cell>
          <cell r="D393">
            <v>2013</v>
          </cell>
          <cell r="E393">
            <v>87.7</v>
          </cell>
          <cell r="F393">
            <v>367</v>
          </cell>
          <cell r="G393">
            <v>165</v>
          </cell>
          <cell r="H393">
            <v>21</v>
          </cell>
          <cell r="I393">
            <v>78</v>
          </cell>
          <cell r="J393">
            <v>241</v>
          </cell>
          <cell r="K393">
            <v>326</v>
          </cell>
          <cell r="L393">
            <v>16.3</v>
          </cell>
          <cell r="M393">
            <v>15.6</v>
          </cell>
          <cell r="N393">
            <v>9.1</v>
          </cell>
          <cell r="O393">
            <v>0.6</v>
          </cell>
          <cell r="P393">
            <v>4</v>
          </cell>
          <cell r="R393">
            <v>246</v>
          </cell>
          <cell r="S393">
            <v>0</v>
          </cell>
          <cell r="T393">
            <v>7.25</v>
          </cell>
          <cell r="W393">
            <v>19.36</v>
          </cell>
          <cell r="X393">
            <v>208</v>
          </cell>
          <cell r="Y393">
            <v>0</v>
          </cell>
        </row>
        <row r="394">
          <cell r="B394" t="str">
            <v>Heu, 2. S.</v>
          </cell>
          <cell r="C394">
            <v>81166</v>
          </cell>
          <cell r="D394">
            <v>2013</v>
          </cell>
          <cell r="E394">
            <v>88.5</v>
          </cell>
          <cell r="F394">
            <v>151</v>
          </cell>
          <cell r="G394">
            <v>346</v>
          </cell>
          <cell r="H394">
            <v>15</v>
          </cell>
          <cell r="I394">
            <v>89</v>
          </cell>
          <cell r="J394">
            <v>337</v>
          </cell>
          <cell r="K394">
            <v>525</v>
          </cell>
          <cell r="L394">
            <v>4.5999999999999996</v>
          </cell>
          <cell r="M394">
            <v>27.8</v>
          </cell>
          <cell r="N394">
            <v>5.0999999999999996</v>
          </cell>
          <cell r="O394">
            <v>1</v>
          </cell>
          <cell r="P394">
            <v>2</v>
          </cell>
          <cell r="R394">
            <v>133</v>
          </cell>
          <cell r="S394">
            <v>0</v>
          </cell>
          <cell r="T394">
            <v>5.39</v>
          </cell>
          <cell r="U394">
            <v>3.3</v>
          </cell>
          <cell r="W394">
            <v>2.88</v>
          </cell>
          <cell r="X394">
            <v>220</v>
          </cell>
          <cell r="Y394">
            <v>0</v>
          </cell>
        </row>
        <row r="395">
          <cell r="B395" t="str">
            <v>Stroh, Gerste</v>
          </cell>
          <cell r="C395">
            <v>81167</v>
          </cell>
          <cell r="D395">
            <v>2013</v>
          </cell>
          <cell r="E395">
            <v>92.7</v>
          </cell>
          <cell r="F395">
            <v>25</v>
          </cell>
          <cell r="G395">
            <v>494</v>
          </cell>
          <cell r="H395">
            <v>11</v>
          </cell>
          <cell r="I395">
            <v>55</v>
          </cell>
          <cell r="J395">
            <v>542</v>
          </cell>
          <cell r="K395">
            <v>827</v>
          </cell>
          <cell r="L395">
            <v>1.1000000000000001</v>
          </cell>
          <cell r="M395">
            <v>15.6</v>
          </cell>
          <cell r="N395">
            <v>3</v>
          </cell>
          <cell r="O395">
            <v>0.1</v>
          </cell>
          <cell r="P395">
            <v>0.4</v>
          </cell>
          <cell r="R395">
            <v>71</v>
          </cell>
          <cell r="S395">
            <v>0</v>
          </cell>
          <cell r="T395">
            <v>3.74</v>
          </cell>
          <cell r="W395">
            <v>-7.36</v>
          </cell>
          <cell r="X395">
            <v>82</v>
          </cell>
          <cell r="Y395">
            <v>0</v>
          </cell>
        </row>
        <row r="396">
          <cell r="B396" t="str">
            <v>Silo 2</v>
          </cell>
          <cell r="C396">
            <v>81170</v>
          </cell>
          <cell r="D396">
            <v>2013</v>
          </cell>
          <cell r="S396">
            <v>0</v>
          </cell>
          <cell r="V396">
            <v>9</v>
          </cell>
          <cell r="W396">
            <v>0</v>
          </cell>
          <cell r="X396">
            <v>1000</v>
          </cell>
          <cell r="Y396">
            <v>0</v>
          </cell>
        </row>
        <row r="397">
          <cell r="B397" t="str">
            <v>Silo 6</v>
          </cell>
          <cell r="C397">
            <v>81171</v>
          </cell>
          <cell r="D397">
            <v>2013</v>
          </cell>
          <cell r="E397">
            <v>35.200000000000003</v>
          </cell>
          <cell r="F397">
            <v>74</v>
          </cell>
          <cell r="G397">
            <v>212</v>
          </cell>
          <cell r="H397">
            <v>39</v>
          </cell>
          <cell r="I397">
            <v>38</v>
          </cell>
          <cell r="J397">
            <v>205</v>
          </cell>
          <cell r="K397">
            <v>400</v>
          </cell>
          <cell r="L397">
            <v>2.8</v>
          </cell>
          <cell r="M397">
            <v>11.5</v>
          </cell>
          <cell r="N397">
            <v>2.2000000000000002</v>
          </cell>
          <cell r="O397">
            <v>0.1</v>
          </cell>
          <cell r="P397">
            <v>1.2</v>
          </cell>
          <cell r="R397">
            <v>135</v>
          </cell>
          <cell r="S397">
            <v>0</v>
          </cell>
          <cell r="T397">
            <v>6.89</v>
          </cell>
          <cell r="V397">
            <v>8</v>
          </cell>
          <cell r="W397">
            <v>-9.76</v>
          </cell>
          <cell r="X397">
            <v>449</v>
          </cell>
          <cell r="Y397">
            <v>0</v>
          </cell>
        </row>
        <row r="398">
          <cell r="B398" t="str">
            <v>Treber</v>
          </cell>
          <cell r="C398">
            <v>81172</v>
          </cell>
          <cell r="D398">
            <v>2013</v>
          </cell>
          <cell r="E398">
            <v>26.6</v>
          </cell>
          <cell r="F398">
            <v>238</v>
          </cell>
          <cell r="G398">
            <v>216</v>
          </cell>
          <cell r="H398">
            <v>71</v>
          </cell>
          <cell r="I398">
            <v>44</v>
          </cell>
          <cell r="J398">
            <v>308</v>
          </cell>
          <cell r="K398">
            <v>569</v>
          </cell>
          <cell r="L398">
            <v>8.3000000000000007</v>
          </cell>
          <cell r="M398">
            <v>3.8</v>
          </cell>
          <cell r="N398">
            <v>4.0999999999999996</v>
          </cell>
          <cell r="O398">
            <v>0.2</v>
          </cell>
          <cell r="P398">
            <v>2.4</v>
          </cell>
          <cell r="R398">
            <v>200</v>
          </cell>
          <cell r="S398">
            <v>0</v>
          </cell>
          <cell r="T398">
            <v>6.57</v>
          </cell>
          <cell r="W398">
            <v>6.08</v>
          </cell>
          <cell r="X398">
            <v>78</v>
          </cell>
          <cell r="Y398">
            <v>0</v>
          </cell>
        </row>
        <row r="399">
          <cell r="B399" t="str">
            <v>Silo 3</v>
          </cell>
          <cell r="C399">
            <v>81173</v>
          </cell>
          <cell r="D399">
            <v>2013</v>
          </cell>
          <cell r="E399">
            <v>36.5</v>
          </cell>
          <cell r="F399">
            <v>74</v>
          </cell>
          <cell r="G399">
            <v>187</v>
          </cell>
          <cell r="H399">
            <v>38</v>
          </cell>
          <cell r="I399">
            <v>33</v>
          </cell>
          <cell r="J399">
            <v>204</v>
          </cell>
          <cell r="K399">
            <v>333</v>
          </cell>
          <cell r="L399">
            <v>2.7</v>
          </cell>
          <cell r="M399">
            <v>10.3</v>
          </cell>
          <cell r="N399">
            <v>1.9</v>
          </cell>
          <cell r="O399">
            <v>0.1</v>
          </cell>
          <cell r="P399">
            <v>1.1000000000000001</v>
          </cell>
          <cell r="R399">
            <v>140</v>
          </cell>
          <cell r="S399">
            <v>0</v>
          </cell>
          <cell r="T399">
            <v>7.23</v>
          </cell>
          <cell r="W399">
            <v>-10.56</v>
          </cell>
          <cell r="X399">
            <v>522</v>
          </cell>
          <cell r="Y399">
            <v>0</v>
          </cell>
        </row>
        <row r="400">
          <cell r="B400" t="str">
            <v>Silo 9</v>
          </cell>
          <cell r="C400">
            <v>81174</v>
          </cell>
          <cell r="D400">
            <v>2013</v>
          </cell>
          <cell r="E400">
            <v>35.700000000000003</v>
          </cell>
          <cell r="F400">
            <v>180</v>
          </cell>
          <cell r="G400">
            <v>294</v>
          </cell>
          <cell r="H400">
            <v>38</v>
          </cell>
          <cell r="I400">
            <v>122</v>
          </cell>
          <cell r="J400">
            <v>320</v>
          </cell>
          <cell r="K400">
            <v>467</v>
          </cell>
          <cell r="L400">
            <v>5.8</v>
          </cell>
          <cell r="M400">
            <v>34.200000000000003</v>
          </cell>
          <cell r="N400">
            <v>5.5</v>
          </cell>
          <cell r="O400">
            <v>1.6</v>
          </cell>
          <cell r="P400">
            <v>2.2000000000000002</v>
          </cell>
          <cell r="R400">
            <v>136</v>
          </cell>
          <cell r="S400">
            <v>0</v>
          </cell>
          <cell r="T400">
            <v>5.9</v>
          </cell>
          <cell r="U400">
            <v>2.95</v>
          </cell>
          <cell r="W400">
            <v>7.04</v>
          </cell>
          <cell r="X400">
            <v>193</v>
          </cell>
          <cell r="Y400">
            <v>0</v>
          </cell>
        </row>
        <row r="401">
          <cell r="B401" t="str">
            <v>Treber</v>
          </cell>
          <cell r="C401">
            <v>81175</v>
          </cell>
          <cell r="D401">
            <v>2013</v>
          </cell>
          <cell r="E401">
            <v>22.8</v>
          </cell>
          <cell r="F401">
            <v>207</v>
          </cell>
          <cell r="G401">
            <v>207</v>
          </cell>
          <cell r="H401">
            <v>68</v>
          </cell>
          <cell r="I401">
            <v>50</v>
          </cell>
          <cell r="J401">
            <v>291</v>
          </cell>
          <cell r="K401">
            <v>545</v>
          </cell>
          <cell r="L401">
            <v>8.8000000000000007</v>
          </cell>
          <cell r="M401">
            <v>3.5</v>
          </cell>
          <cell r="N401">
            <v>3.9</v>
          </cell>
          <cell r="O401">
            <v>0.2</v>
          </cell>
          <cell r="P401">
            <v>2.7</v>
          </cell>
          <cell r="R401">
            <v>186</v>
          </cell>
          <cell r="S401">
            <v>0</v>
          </cell>
          <cell r="T401">
            <v>6.47</v>
          </cell>
          <cell r="W401">
            <v>3.36</v>
          </cell>
          <cell r="X401">
            <v>130</v>
          </cell>
          <cell r="Y401">
            <v>0</v>
          </cell>
        </row>
        <row r="402">
          <cell r="B402" t="str">
            <v>WGB 25,5/33/36/4,5/1/0,5</v>
          </cell>
          <cell r="C402">
            <v>81176</v>
          </cell>
          <cell r="D402">
            <v>2013</v>
          </cell>
          <cell r="E402">
            <v>89.4</v>
          </cell>
          <cell r="F402">
            <v>152</v>
          </cell>
          <cell r="G402">
            <v>166</v>
          </cell>
          <cell r="H402">
            <v>19</v>
          </cell>
          <cell r="I402">
            <v>48</v>
          </cell>
          <cell r="J402">
            <v>144</v>
          </cell>
          <cell r="K402">
            <v>191</v>
          </cell>
          <cell r="L402">
            <v>7.8</v>
          </cell>
          <cell r="M402">
            <v>9.8000000000000007</v>
          </cell>
          <cell r="N402">
            <v>4.0999999999999996</v>
          </cell>
          <cell r="O402">
            <v>1.8</v>
          </cell>
          <cell r="P402">
            <v>2.1</v>
          </cell>
          <cell r="R402">
            <v>166</v>
          </cell>
          <cell r="S402">
            <v>0</v>
          </cell>
          <cell r="T402">
            <v>8.1</v>
          </cell>
          <cell r="W402">
            <v>-2.2400000000000002</v>
          </cell>
          <cell r="X402">
            <v>590</v>
          </cell>
          <cell r="Y402">
            <v>0</v>
          </cell>
        </row>
        <row r="403">
          <cell r="B403" t="str">
            <v>WG 50/44/4,5/1/0,5</v>
          </cell>
          <cell r="C403">
            <v>81177</v>
          </cell>
          <cell r="D403">
            <v>2013</v>
          </cell>
          <cell r="E403">
            <v>90.7</v>
          </cell>
          <cell r="F403">
            <v>100</v>
          </cell>
          <cell r="G403">
            <v>167</v>
          </cell>
          <cell r="H403">
            <v>23</v>
          </cell>
          <cell r="I403">
            <v>212</v>
          </cell>
          <cell r="J403">
            <v>83</v>
          </cell>
          <cell r="K403">
            <v>115</v>
          </cell>
          <cell r="L403">
            <v>13.2</v>
          </cell>
          <cell r="M403">
            <v>6.7</v>
          </cell>
          <cell r="N403">
            <v>30.5</v>
          </cell>
          <cell r="O403">
            <v>14.6</v>
          </cell>
          <cell r="P403">
            <v>4.5</v>
          </cell>
          <cell r="R403">
            <v>131</v>
          </cell>
          <cell r="S403">
            <v>0</v>
          </cell>
          <cell r="T403">
            <v>6.53</v>
          </cell>
          <cell r="W403">
            <v>-4.96</v>
          </cell>
          <cell r="X403">
            <v>550</v>
          </cell>
          <cell r="Y403">
            <v>0</v>
          </cell>
        </row>
        <row r="404">
          <cell r="B404" t="str">
            <v>RES</v>
          </cell>
          <cell r="C404">
            <v>81178</v>
          </cell>
          <cell r="D404">
            <v>2013</v>
          </cell>
          <cell r="E404">
            <v>87.6</v>
          </cell>
          <cell r="F404">
            <v>386</v>
          </cell>
          <cell r="G404">
            <v>164</v>
          </cell>
          <cell r="H404">
            <v>20</v>
          </cell>
          <cell r="I404">
            <v>80</v>
          </cell>
          <cell r="J404">
            <v>242</v>
          </cell>
          <cell r="K404">
            <v>327</v>
          </cell>
          <cell r="L404">
            <v>16.899999999999999</v>
          </cell>
          <cell r="M404">
            <v>15.6</v>
          </cell>
          <cell r="N404">
            <v>7.4</v>
          </cell>
          <cell r="O404">
            <v>0.5</v>
          </cell>
          <cell r="P404">
            <v>4.5999999999999996</v>
          </cell>
          <cell r="R404">
            <v>253</v>
          </cell>
          <cell r="S404">
            <v>0</v>
          </cell>
          <cell r="T404">
            <v>7.25</v>
          </cell>
          <cell r="W404">
            <v>21.28</v>
          </cell>
          <cell r="X404">
            <v>187</v>
          </cell>
          <cell r="Y404">
            <v>0</v>
          </cell>
        </row>
        <row r="405">
          <cell r="B405" t="str">
            <v>Heu, 2. S.</v>
          </cell>
          <cell r="C405">
            <v>81179</v>
          </cell>
          <cell r="D405">
            <v>2013</v>
          </cell>
          <cell r="E405">
            <v>91</v>
          </cell>
          <cell r="F405">
            <v>130</v>
          </cell>
          <cell r="G405">
            <v>293</v>
          </cell>
          <cell r="H405">
            <v>21</v>
          </cell>
          <cell r="I405">
            <v>88</v>
          </cell>
          <cell r="J405">
            <v>282</v>
          </cell>
          <cell r="K405">
            <v>485</v>
          </cell>
          <cell r="L405">
            <v>5.0999999999999996</v>
          </cell>
          <cell r="M405">
            <v>28.7</v>
          </cell>
          <cell r="N405">
            <v>5.0999999999999996</v>
          </cell>
          <cell r="O405">
            <v>1.3</v>
          </cell>
          <cell r="P405">
            <v>1.9</v>
          </cell>
          <cell r="R405">
            <v>140</v>
          </cell>
          <cell r="S405">
            <v>0</v>
          </cell>
          <cell r="T405">
            <v>6.25</v>
          </cell>
          <cell r="U405">
            <v>3.06</v>
          </cell>
          <cell r="W405">
            <v>-1.6</v>
          </cell>
          <cell r="X405">
            <v>276</v>
          </cell>
          <cell r="Y405">
            <v>0</v>
          </cell>
        </row>
        <row r="406">
          <cell r="B406" t="str">
            <v>Stroh, Gerste</v>
          </cell>
          <cell r="C406">
            <v>81180</v>
          </cell>
          <cell r="D406">
            <v>2013</v>
          </cell>
          <cell r="E406">
            <v>92.8</v>
          </cell>
          <cell r="F406">
            <v>27</v>
          </cell>
          <cell r="G406">
            <v>467</v>
          </cell>
          <cell r="H406">
            <v>9</v>
          </cell>
          <cell r="I406">
            <v>59</v>
          </cell>
          <cell r="J406">
            <v>546</v>
          </cell>
          <cell r="K406">
            <v>829</v>
          </cell>
          <cell r="L406">
            <v>1.6</v>
          </cell>
          <cell r="M406">
            <v>16.100000000000001</v>
          </cell>
          <cell r="N406">
            <v>3.1</v>
          </cell>
          <cell r="O406">
            <v>0.2</v>
          </cell>
          <cell r="P406">
            <v>0.4</v>
          </cell>
          <cell r="R406">
            <v>72</v>
          </cell>
          <cell r="S406">
            <v>0</v>
          </cell>
          <cell r="T406">
            <v>3.74</v>
          </cell>
          <cell r="W406">
            <v>-7.2</v>
          </cell>
          <cell r="X406">
            <v>76</v>
          </cell>
          <cell r="Y406">
            <v>0</v>
          </cell>
        </row>
        <row r="407">
          <cell r="B407" t="str">
            <v>Silo 3</v>
          </cell>
          <cell r="C407">
            <v>81183</v>
          </cell>
          <cell r="D407">
            <v>2013</v>
          </cell>
          <cell r="E407">
            <v>36.1</v>
          </cell>
          <cell r="F407">
            <v>90</v>
          </cell>
          <cell r="G407">
            <v>195</v>
          </cell>
          <cell r="H407">
            <v>48</v>
          </cell>
          <cell r="I407">
            <v>36</v>
          </cell>
          <cell r="J407">
            <v>196</v>
          </cell>
          <cell r="K407">
            <v>310</v>
          </cell>
          <cell r="L407">
            <v>3.2</v>
          </cell>
          <cell r="M407">
            <v>8.8000000000000007</v>
          </cell>
          <cell r="N407">
            <v>2</v>
          </cell>
          <cell r="O407">
            <v>0.1</v>
          </cell>
          <cell r="P407">
            <v>1.1000000000000001</v>
          </cell>
          <cell r="R407">
            <v>149</v>
          </cell>
          <cell r="S407">
            <v>0</v>
          </cell>
          <cell r="T407">
            <v>7.65</v>
          </cell>
          <cell r="U407">
            <v>1.29</v>
          </cell>
          <cell r="V407">
            <v>6</v>
          </cell>
          <cell r="W407">
            <v>-9.44</v>
          </cell>
          <cell r="X407">
            <v>516</v>
          </cell>
          <cell r="Y407">
            <v>0</v>
          </cell>
        </row>
        <row r="408">
          <cell r="B408" t="str">
            <v>Silo 3</v>
          </cell>
          <cell r="C408">
            <v>81183</v>
          </cell>
          <cell r="D408">
            <v>2013</v>
          </cell>
          <cell r="S408">
            <v>0</v>
          </cell>
          <cell r="W408">
            <v>0</v>
          </cell>
          <cell r="Y408">
            <v>0</v>
          </cell>
        </row>
        <row r="409">
          <cell r="B409" t="str">
            <v>Silo 9</v>
          </cell>
          <cell r="C409">
            <v>81184</v>
          </cell>
          <cell r="D409">
            <v>2013</v>
          </cell>
          <cell r="E409">
            <v>35.6</v>
          </cell>
          <cell r="F409">
            <v>175</v>
          </cell>
          <cell r="G409">
            <v>301</v>
          </cell>
          <cell r="H409">
            <v>37</v>
          </cell>
          <cell r="I409">
            <v>124</v>
          </cell>
          <cell r="J409">
            <v>318</v>
          </cell>
          <cell r="K409">
            <v>489</v>
          </cell>
          <cell r="L409">
            <v>5.5</v>
          </cell>
          <cell r="M409">
            <v>32.299999999999997</v>
          </cell>
          <cell r="N409">
            <v>5.4</v>
          </cell>
          <cell r="O409">
            <v>1.5</v>
          </cell>
          <cell r="P409">
            <v>2.1</v>
          </cell>
          <cell r="R409">
            <v>132</v>
          </cell>
          <cell r="S409">
            <v>0</v>
          </cell>
          <cell r="T409">
            <v>5.73</v>
          </cell>
          <cell r="U409">
            <v>3.08</v>
          </cell>
          <cell r="V409">
            <v>24</v>
          </cell>
          <cell r="W409">
            <v>6.88</v>
          </cell>
          <cell r="X409">
            <v>175</v>
          </cell>
          <cell r="Y409">
            <v>0</v>
          </cell>
        </row>
        <row r="410">
          <cell r="B410" t="str">
            <v>Treber</v>
          </cell>
          <cell r="C410">
            <v>81185</v>
          </cell>
          <cell r="D410">
            <v>2013</v>
          </cell>
          <cell r="E410">
            <v>22.4</v>
          </cell>
          <cell r="F410">
            <v>220</v>
          </cell>
          <cell r="G410">
            <v>195</v>
          </cell>
          <cell r="H410">
            <v>74</v>
          </cell>
          <cell r="I410">
            <v>48</v>
          </cell>
          <cell r="J410">
            <v>283</v>
          </cell>
          <cell r="K410">
            <v>574</v>
          </cell>
          <cell r="L410">
            <v>9.1999999999999993</v>
          </cell>
          <cell r="M410">
            <v>1.8</v>
          </cell>
          <cell r="N410">
            <v>3.8</v>
          </cell>
          <cell r="O410">
            <v>0.2</v>
          </cell>
          <cell r="P410">
            <v>2.5</v>
          </cell>
          <cell r="R410">
            <v>192</v>
          </cell>
          <cell r="S410">
            <v>0</v>
          </cell>
          <cell r="T410">
            <v>6.56</v>
          </cell>
          <cell r="V410">
            <v>76</v>
          </cell>
          <cell r="W410">
            <v>4.4800000000000004</v>
          </cell>
          <cell r="X410">
            <v>84</v>
          </cell>
          <cell r="Y410">
            <v>0</v>
          </cell>
        </row>
        <row r="411">
          <cell r="B411" t="str">
            <v>WGB 25,5/33/36/4,5/1/0,5</v>
          </cell>
          <cell r="C411">
            <v>81186</v>
          </cell>
          <cell r="D411">
            <v>2013</v>
          </cell>
          <cell r="E411">
            <v>89.2</v>
          </cell>
          <cell r="F411">
            <v>156</v>
          </cell>
          <cell r="G411">
            <v>171</v>
          </cell>
          <cell r="H411">
            <v>22</v>
          </cell>
          <cell r="I411">
            <v>68</v>
          </cell>
          <cell r="J411">
            <v>128</v>
          </cell>
          <cell r="K411">
            <v>190</v>
          </cell>
          <cell r="L411">
            <v>8.6999999999999993</v>
          </cell>
          <cell r="M411">
            <v>9</v>
          </cell>
          <cell r="N411">
            <v>7.8</v>
          </cell>
          <cell r="O411">
            <v>3.6</v>
          </cell>
          <cell r="P411">
            <v>2.7</v>
          </cell>
          <cell r="R411">
            <v>166</v>
          </cell>
          <cell r="S411">
            <v>0</v>
          </cell>
          <cell r="T411">
            <v>8</v>
          </cell>
          <cell r="W411">
            <v>-1.6</v>
          </cell>
          <cell r="X411">
            <v>564</v>
          </cell>
          <cell r="Y411">
            <v>0</v>
          </cell>
        </row>
        <row r="412">
          <cell r="B412" t="str">
            <v>WG 50/44/4,5/1/0,5</v>
          </cell>
          <cell r="C412">
            <v>81187</v>
          </cell>
          <cell r="D412">
            <v>2013</v>
          </cell>
          <cell r="E412">
            <v>90.2</v>
          </cell>
          <cell r="F412">
            <v>105</v>
          </cell>
          <cell r="G412">
            <v>251</v>
          </cell>
          <cell r="H412">
            <v>20</v>
          </cell>
          <cell r="I412">
            <v>143</v>
          </cell>
          <cell r="J412">
            <v>82</v>
          </cell>
          <cell r="K412">
            <v>143</v>
          </cell>
          <cell r="L412">
            <v>12</v>
          </cell>
          <cell r="M412">
            <v>5.8</v>
          </cell>
          <cell r="N412">
            <v>20.8</v>
          </cell>
          <cell r="O412">
            <v>9.8000000000000007</v>
          </cell>
          <cell r="P412">
            <v>5</v>
          </cell>
          <cell r="R412">
            <v>143</v>
          </cell>
          <cell r="S412">
            <v>0</v>
          </cell>
          <cell r="T412">
            <v>7.21</v>
          </cell>
          <cell r="W412">
            <v>-6.08</v>
          </cell>
          <cell r="X412">
            <v>589</v>
          </cell>
          <cell r="Y412">
            <v>0</v>
          </cell>
        </row>
        <row r="413">
          <cell r="B413" t="str">
            <v>RES</v>
          </cell>
          <cell r="C413">
            <v>81188</v>
          </cell>
          <cell r="D413">
            <v>2014</v>
          </cell>
          <cell r="E413">
            <v>88.6</v>
          </cell>
          <cell r="F413">
            <v>383</v>
          </cell>
          <cell r="G413">
            <v>161</v>
          </cell>
          <cell r="H413">
            <v>22</v>
          </cell>
          <cell r="I413">
            <v>78</v>
          </cell>
          <cell r="J413">
            <v>248</v>
          </cell>
          <cell r="K413">
            <v>328</v>
          </cell>
          <cell r="L413">
            <v>17.3</v>
          </cell>
          <cell r="M413">
            <v>13.7</v>
          </cell>
          <cell r="N413">
            <v>7.7</v>
          </cell>
          <cell r="O413">
            <v>0.5</v>
          </cell>
          <cell r="P413">
            <v>4.5</v>
          </cell>
          <cell r="R413">
            <v>252</v>
          </cell>
          <cell r="S413">
            <v>0</v>
          </cell>
          <cell r="T413">
            <v>7.28</v>
          </cell>
          <cell r="W413">
            <v>20.96</v>
          </cell>
          <cell r="X413">
            <v>189</v>
          </cell>
          <cell r="Y413">
            <v>0</v>
          </cell>
        </row>
        <row r="414">
          <cell r="B414" t="str">
            <v>Heu, 2. S.</v>
          </cell>
          <cell r="C414">
            <v>81189</v>
          </cell>
          <cell r="D414">
            <v>2013</v>
          </cell>
          <cell r="E414">
            <v>88.3</v>
          </cell>
          <cell r="F414">
            <v>152</v>
          </cell>
          <cell r="G414">
            <v>328</v>
          </cell>
          <cell r="H414">
            <v>19</v>
          </cell>
          <cell r="I414">
            <v>93</v>
          </cell>
          <cell r="J414">
            <v>349</v>
          </cell>
          <cell r="K414">
            <v>509</v>
          </cell>
          <cell r="L414">
            <v>4.5</v>
          </cell>
          <cell r="M414">
            <v>22.2</v>
          </cell>
          <cell r="N414">
            <v>4.8</v>
          </cell>
          <cell r="O414">
            <v>0.8</v>
          </cell>
          <cell r="P414">
            <v>1.9</v>
          </cell>
          <cell r="R414">
            <v>134</v>
          </cell>
          <cell r="S414">
            <v>0</v>
          </cell>
          <cell r="T414">
            <v>5.47</v>
          </cell>
          <cell r="W414">
            <v>2.88</v>
          </cell>
          <cell r="X414">
            <v>227</v>
          </cell>
          <cell r="Y414">
            <v>0</v>
          </cell>
        </row>
        <row r="415">
          <cell r="B415" t="str">
            <v>Stroh, Gerste</v>
          </cell>
          <cell r="C415">
            <v>81190</v>
          </cell>
          <cell r="D415">
            <v>2013</v>
          </cell>
          <cell r="E415">
            <v>91.7</v>
          </cell>
          <cell r="F415">
            <v>25</v>
          </cell>
          <cell r="G415">
            <v>493</v>
          </cell>
          <cell r="H415">
            <v>12</v>
          </cell>
          <cell r="I415">
            <v>51</v>
          </cell>
          <cell r="J415">
            <v>551</v>
          </cell>
          <cell r="K415">
            <v>833</v>
          </cell>
          <cell r="L415">
            <v>1.4</v>
          </cell>
          <cell r="M415">
            <v>11.6</v>
          </cell>
          <cell r="N415">
            <v>2.2000000000000002</v>
          </cell>
          <cell r="O415">
            <v>0.1</v>
          </cell>
          <cell r="P415">
            <v>0.3</v>
          </cell>
          <cell r="R415">
            <v>72</v>
          </cell>
          <cell r="S415">
            <v>0</v>
          </cell>
          <cell r="T415">
            <v>3.77</v>
          </cell>
          <cell r="W415">
            <v>-7.52</v>
          </cell>
          <cell r="X415">
            <v>79</v>
          </cell>
          <cell r="Y415">
            <v>0</v>
          </cell>
        </row>
        <row r="416">
          <cell r="B416" t="str">
            <v>Treber</v>
          </cell>
          <cell r="C416">
            <v>81193</v>
          </cell>
          <cell r="D416">
            <v>2013</v>
          </cell>
          <cell r="E416">
            <v>19.5</v>
          </cell>
          <cell r="F416">
            <v>251</v>
          </cell>
          <cell r="G416">
            <v>215</v>
          </cell>
          <cell r="H416">
            <v>67</v>
          </cell>
          <cell r="I416">
            <v>42</v>
          </cell>
          <cell r="J416">
            <v>303</v>
          </cell>
          <cell r="K416">
            <v>545</v>
          </cell>
          <cell r="L416">
            <v>8.3000000000000007</v>
          </cell>
          <cell r="M416">
            <v>3.8</v>
          </cell>
          <cell r="N416">
            <v>5.4</v>
          </cell>
          <cell r="O416">
            <v>0.1</v>
          </cell>
          <cell r="P416">
            <v>1.9</v>
          </cell>
          <cell r="R416">
            <v>205</v>
          </cell>
          <cell r="S416">
            <v>0</v>
          </cell>
          <cell r="T416">
            <v>6.55</v>
          </cell>
          <cell r="W416">
            <v>7.36</v>
          </cell>
          <cell r="X416">
            <v>95</v>
          </cell>
          <cell r="Y416">
            <v>0</v>
          </cell>
        </row>
        <row r="417">
          <cell r="B417" t="str">
            <v>Gerste</v>
          </cell>
          <cell r="C417">
            <v>81194</v>
          </cell>
          <cell r="D417">
            <v>2013</v>
          </cell>
          <cell r="E417">
            <v>90.5</v>
          </cell>
          <cell r="F417">
            <v>91</v>
          </cell>
          <cell r="G417">
            <v>71</v>
          </cell>
          <cell r="H417">
            <v>25</v>
          </cell>
          <cell r="I417">
            <v>32</v>
          </cell>
          <cell r="J417">
            <v>83</v>
          </cell>
          <cell r="K417">
            <v>226</v>
          </cell>
          <cell r="L417">
            <v>5.0999999999999996</v>
          </cell>
          <cell r="M417">
            <v>9.4</v>
          </cell>
          <cell r="N417">
            <v>1.2</v>
          </cell>
          <cell r="O417">
            <v>0.1</v>
          </cell>
          <cell r="P417">
            <v>1.1000000000000001</v>
          </cell>
          <cell r="Q417">
            <v>0.25</v>
          </cell>
          <cell r="R417">
            <v>152</v>
          </cell>
          <cell r="S417">
            <v>12.6</v>
          </cell>
          <cell r="T417">
            <v>7.9</v>
          </cell>
          <cell r="U417">
            <v>-0.11</v>
          </cell>
          <cell r="W417">
            <v>-9.76</v>
          </cell>
          <cell r="X417">
            <v>626</v>
          </cell>
          <cell r="Y417">
            <v>0</v>
          </cell>
        </row>
        <row r="418">
          <cell r="B418" t="str">
            <v>Weizen</v>
          </cell>
          <cell r="C418">
            <v>81195</v>
          </cell>
          <cell r="D418">
            <v>2013</v>
          </cell>
          <cell r="E418">
            <v>89.1</v>
          </cell>
          <cell r="F418">
            <v>156</v>
          </cell>
          <cell r="G418">
            <v>42</v>
          </cell>
          <cell r="H418">
            <v>31</v>
          </cell>
          <cell r="I418">
            <v>24</v>
          </cell>
          <cell r="J418">
            <v>73</v>
          </cell>
          <cell r="K418">
            <v>162</v>
          </cell>
          <cell r="L418">
            <v>6.4</v>
          </cell>
          <cell r="M418">
            <v>6.3</v>
          </cell>
          <cell r="N418">
            <v>0.8</v>
          </cell>
          <cell r="O418">
            <v>0.1</v>
          </cell>
          <cell r="P418">
            <v>1.6</v>
          </cell>
          <cell r="Q418">
            <v>0.2</v>
          </cell>
          <cell r="R418">
            <v>175</v>
          </cell>
          <cell r="S418">
            <v>13.52</v>
          </cell>
          <cell r="T418">
            <v>8.58</v>
          </cell>
          <cell r="U418">
            <v>-0.19</v>
          </cell>
          <cell r="W418">
            <v>-3.04</v>
          </cell>
          <cell r="X418">
            <v>627</v>
          </cell>
          <cell r="Y418">
            <v>0</v>
          </cell>
        </row>
        <row r="419">
          <cell r="B419" t="str">
            <v>Ackerbohnen</v>
          </cell>
          <cell r="C419">
            <v>81196</v>
          </cell>
          <cell r="D419">
            <v>2013</v>
          </cell>
          <cell r="E419">
            <v>87.9</v>
          </cell>
          <cell r="F419">
            <v>271</v>
          </cell>
          <cell r="G419">
            <v>106</v>
          </cell>
          <cell r="H419">
            <v>15</v>
          </cell>
          <cell r="I419">
            <v>41</v>
          </cell>
          <cell r="J419">
            <v>153</v>
          </cell>
          <cell r="K419">
            <v>233</v>
          </cell>
          <cell r="L419">
            <v>8.6</v>
          </cell>
          <cell r="M419">
            <v>14.4</v>
          </cell>
          <cell r="N419">
            <v>1.5</v>
          </cell>
          <cell r="O419">
            <v>0.1</v>
          </cell>
          <cell r="P419">
            <v>1.5</v>
          </cell>
          <cell r="Q419">
            <v>0.15</v>
          </cell>
          <cell r="R419">
            <v>190</v>
          </cell>
          <cell r="S419">
            <v>13.54</v>
          </cell>
          <cell r="T419">
            <v>8.57</v>
          </cell>
          <cell r="U419">
            <v>0.19</v>
          </cell>
          <cell r="W419">
            <v>12.96</v>
          </cell>
          <cell r="X419">
            <v>440</v>
          </cell>
          <cell r="Y419">
            <v>0</v>
          </cell>
        </row>
        <row r="420">
          <cell r="B420" t="str">
            <v>Silo 2M</v>
          </cell>
          <cell r="C420">
            <v>81197</v>
          </cell>
          <cell r="D420">
            <v>2013</v>
          </cell>
          <cell r="E420">
            <v>35.200000000000003</v>
          </cell>
          <cell r="F420">
            <v>74</v>
          </cell>
          <cell r="G420">
            <v>204</v>
          </cell>
          <cell r="H420">
            <v>32</v>
          </cell>
          <cell r="I420">
            <v>36</v>
          </cell>
          <cell r="J420">
            <v>212</v>
          </cell>
          <cell r="K420">
            <v>329</v>
          </cell>
          <cell r="L420">
            <v>2.2999999999999998</v>
          </cell>
          <cell r="M420">
            <v>9.8000000000000007</v>
          </cell>
          <cell r="N420">
            <v>2.2000000000000002</v>
          </cell>
          <cell r="O420">
            <v>0.1</v>
          </cell>
          <cell r="P420">
            <v>1.1000000000000001</v>
          </cell>
          <cell r="R420">
            <v>138</v>
          </cell>
          <cell r="S420">
            <v>0</v>
          </cell>
          <cell r="T420">
            <v>7.08</v>
          </cell>
          <cell r="U420">
            <v>1.41</v>
          </cell>
          <cell r="W420">
            <v>-10.24</v>
          </cell>
          <cell r="X420">
            <v>529</v>
          </cell>
          <cell r="Y420">
            <v>0</v>
          </cell>
        </row>
        <row r="421">
          <cell r="B421" t="str">
            <v>Silo 9</v>
          </cell>
          <cell r="C421">
            <v>81198</v>
          </cell>
          <cell r="D421">
            <v>2013</v>
          </cell>
          <cell r="E421">
            <v>35.700000000000003</v>
          </cell>
          <cell r="F421">
            <v>198</v>
          </cell>
          <cell r="G421">
            <v>292</v>
          </cell>
          <cell r="H421">
            <v>37</v>
          </cell>
          <cell r="I421">
            <v>123</v>
          </cell>
          <cell r="J421">
            <v>324</v>
          </cell>
          <cell r="K421">
            <v>449</v>
          </cell>
          <cell r="L421">
            <v>5.3</v>
          </cell>
          <cell r="M421">
            <v>33.700000000000003</v>
          </cell>
          <cell r="N421">
            <v>5.4</v>
          </cell>
          <cell r="O421">
            <v>2.5</v>
          </cell>
          <cell r="P421">
            <v>2.1</v>
          </cell>
          <cell r="R421">
            <v>138</v>
          </cell>
          <cell r="S421">
            <v>0</v>
          </cell>
          <cell r="T421">
            <v>5.9</v>
          </cell>
          <cell r="U421">
            <v>2.84</v>
          </cell>
          <cell r="W421">
            <v>9.6</v>
          </cell>
          <cell r="X421">
            <v>193</v>
          </cell>
          <cell r="Y421">
            <v>0</v>
          </cell>
        </row>
        <row r="422">
          <cell r="B422" t="str">
            <v>Treber</v>
          </cell>
          <cell r="C422">
            <v>81199</v>
          </cell>
          <cell r="D422">
            <v>2013</v>
          </cell>
          <cell r="E422">
            <v>23.8</v>
          </cell>
          <cell r="F422">
            <v>242</v>
          </cell>
          <cell r="G422">
            <v>198</v>
          </cell>
          <cell r="H422">
            <v>73</v>
          </cell>
          <cell r="I422">
            <v>47</v>
          </cell>
          <cell r="J422">
            <v>277</v>
          </cell>
          <cell r="K422">
            <v>548</v>
          </cell>
          <cell r="L422">
            <v>8.9</v>
          </cell>
          <cell r="M422">
            <v>1.6</v>
          </cell>
          <cell r="N422">
            <v>3.8</v>
          </cell>
          <cell r="O422">
            <v>0.2</v>
          </cell>
          <cell r="P422">
            <v>2.2999999999999998</v>
          </cell>
          <cell r="R422">
            <v>202</v>
          </cell>
          <cell r="S422">
            <v>0</v>
          </cell>
          <cell r="T422">
            <v>6.58</v>
          </cell>
          <cell r="W422">
            <v>6.4</v>
          </cell>
          <cell r="X422">
            <v>90</v>
          </cell>
          <cell r="Y422">
            <v>0</v>
          </cell>
        </row>
        <row r="423">
          <cell r="B423" t="str">
            <v>WG 50/44/4,5/1/0,5</v>
          </cell>
          <cell r="C423">
            <v>81200</v>
          </cell>
          <cell r="D423">
            <v>2013</v>
          </cell>
          <cell r="E423">
            <v>89.7</v>
          </cell>
          <cell r="F423">
            <v>119</v>
          </cell>
          <cell r="G423">
            <v>63</v>
          </cell>
          <cell r="H423">
            <v>20</v>
          </cell>
          <cell r="I423">
            <v>88</v>
          </cell>
          <cell r="J423">
            <v>81</v>
          </cell>
          <cell r="K423">
            <v>133</v>
          </cell>
          <cell r="L423">
            <v>5.7</v>
          </cell>
          <cell r="M423">
            <v>7</v>
          </cell>
          <cell r="N423">
            <v>13.9</v>
          </cell>
          <cell r="O423">
            <v>8.1999999999999993</v>
          </cell>
          <cell r="P423">
            <v>1.4</v>
          </cell>
          <cell r="R423">
            <v>159</v>
          </cell>
          <cell r="S423">
            <v>0</v>
          </cell>
          <cell r="T423">
            <v>8.08</v>
          </cell>
          <cell r="W423">
            <v>-6.4</v>
          </cell>
          <cell r="X423">
            <v>640</v>
          </cell>
          <cell r="Y423">
            <v>0</v>
          </cell>
        </row>
        <row r="424">
          <cell r="B424" t="str">
            <v>RES</v>
          </cell>
          <cell r="C424">
            <v>81201</v>
          </cell>
          <cell r="D424">
            <v>2013</v>
          </cell>
          <cell r="E424">
            <v>88.6</v>
          </cell>
          <cell r="F424">
            <v>389</v>
          </cell>
          <cell r="G424">
            <v>155</v>
          </cell>
          <cell r="H424">
            <v>21</v>
          </cell>
          <cell r="I424">
            <v>78</v>
          </cell>
          <cell r="J424">
            <v>246</v>
          </cell>
          <cell r="K424">
            <v>326</v>
          </cell>
          <cell r="L424">
            <v>15.8</v>
          </cell>
          <cell r="M424">
            <v>14.4</v>
          </cell>
          <cell r="N424">
            <v>8.6999999999999993</v>
          </cell>
          <cell r="O424">
            <v>0.6</v>
          </cell>
          <cell r="P424">
            <v>4.5999999999999996</v>
          </cell>
          <cell r="R424">
            <v>254</v>
          </cell>
          <cell r="S424">
            <v>0</v>
          </cell>
          <cell r="T424">
            <v>7.28</v>
          </cell>
          <cell r="W424">
            <v>21.6</v>
          </cell>
          <cell r="X424">
            <v>186</v>
          </cell>
          <cell r="Y424">
            <v>0</v>
          </cell>
        </row>
        <row r="425">
          <cell r="B425" t="str">
            <v>Heu, 2. S.</v>
          </cell>
          <cell r="C425">
            <v>81202</v>
          </cell>
          <cell r="D425">
            <v>2013</v>
          </cell>
          <cell r="E425">
            <v>91.3</v>
          </cell>
          <cell r="F425">
            <v>170</v>
          </cell>
          <cell r="G425">
            <v>328</v>
          </cell>
          <cell r="H425">
            <v>28</v>
          </cell>
          <cell r="I425">
            <v>80</v>
          </cell>
          <cell r="J425">
            <v>334</v>
          </cell>
          <cell r="K425">
            <v>494</v>
          </cell>
          <cell r="L425">
            <v>4.4000000000000004</v>
          </cell>
          <cell r="M425">
            <v>19.8</v>
          </cell>
          <cell r="N425">
            <v>5.9</v>
          </cell>
          <cell r="O425">
            <v>1.6</v>
          </cell>
          <cell r="P425">
            <v>2.6</v>
          </cell>
          <cell r="R425">
            <v>145</v>
          </cell>
          <cell r="S425">
            <v>0</v>
          </cell>
          <cell r="T425">
            <v>5.85</v>
          </cell>
          <cell r="U425">
            <v>3.11</v>
          </cell>
          <cell r="W425">
            <v>4</v>
          </cell>
          <cell r="X425">
            <v>228</v>
          </cell>
          <cell r="Y425">
            <v>0</v>
          </cell>
        </row>
        <row r="426">
          <cell r="B426" t="str">
            <v>Stroh, Gerste</v>
          </cell>
          <cell r="C426">
            <v>81203</v>
          </cell>
          <cell r="D426">
            <v>2013</v>
          </cell>
          <cell r="E426">
            <v>90.9</v>
          </cell>
          <cell r="F426">
            <v>27</v>
          </cell>
          <cell r="G426">
            <v>483</v>
          </cell>
          <cell r="H426">
            <v>11</v>
          </cell>
          <cell r="I426">
            <v>63</v>
          </cell>
          <cell r="J426">
            <v>556</v>
          </cell>
          <cell r="K426">
            <v>809</v>
          </cell>
          <cell r="L426">
            <v>1.4</v>
          </cell>
          <cell r="M426">
            <v>13.8</v>
          </cell>
          <cell r="N426">
            <v>3.5</v>
          </cell>
          <cell r="O426">
            <v>0.4</v>
          </cell>
          <cell r="P426">
            <v>0.6</v>
          </cell>
          <cell r="R426">
            <v>72</v>
          </cell>
          <cell r="S426">
            <v>0</v>
          </cell>
          <cell r="T426">
            <v>3.72</v>
          </cell>
          <cell r="U426">
            <v>4.3</v>
          </cell>
          <cell r="W426">
            <v>-7.2</v>
          </cell>
          <cell r="X426">
            <v>90</v>
          </cell>
          <cell r="Y426">
            <v>0</v>
          </cell>
        </row>
        <row r="427">
          <cell r="B427" t="str">
            <v>Silo 7</v>
          </cell>
          <cell r="C427">
            <v>81204</v>
          </cell>
          <cell r="D427">
            <v>2013</v>
          </cell>
          <cell r="E427">
            <v>35.4</v>
          </cell>
          <cell r="F427">
            <v>86</v>
          </cell>
          <cell r="G427">
            <v>204</v>
          </cell>
          <cell r="H427">
            <v>45</v>
          </cell>
          <cell r="I427">
            <v>41</v>
          </cell>
          <cell r="J427">
            <v>221</v>
          </cell>
          <cell r="K427">
            <v>365</v>
          </cell>
          <cell r="L427">
            <v>3.1</v>
          </cell>
          <cell r="M427">
            <v>9.3000000000000007</v>
          </cell>
          <cell r="N427">
            <v>2.5</v>
          </cell>
          <cell r="O427">
            <v>0.1</v>
          </cell>
          <cell r="P427">
            <v>1.3</v>
          </cell>
          <cell r="R427">
            <v>143</v>
          </cell>
          <cell r="S427">
            <v>0</v>
          </cell>
          <cell r="T427">
            <v>6.48</v>
          </cell>
          <cell r="U427">
            <v>1.62</v>
          </cell>
          <cell r="V427">
            <v>7</v>
          </cell>
          <cell r="W427">
            <v>-9.1199999999999992</v>
          </cell>
          <cell r="X427">
            <v>463</v>
          </cell>
          <cell r="Y427">
            <v>0</v>
          </cell>
        </row>
        <row r="428">
          <cell r="B428" t="str">
            <v>Silo 8</v>
          </cell>
          <cell r="C428">
            <v>81205</v>
          </cell>
          <cell r="D428">
            <v>2013</v>
          </cell>
          <cell r="E428">
            <v>35.1</v>
          </cell>
          <cell r="F428">
            <v>77</v>
          </cell>
          <cell r="G428">
            <v>193</v>
          </cell>
          <cell r="H428">
            <v>37</v>
          </cell>
          <cell r="I428">
            <v>37</v>
          </cell>
          <cell r="J428">
            <v>210</v>
          </cell>
          <cell r="K428">
            <v>362</v>
          </cell>
          <cell r="L428">
            <v>2.6</v>
          </cell>
          <cell r="M428">
            <v>10.3</v>
          </cell>
          <cell r="N428">
            <v>2.6</v>
          </cell>
          <cell r="O428">
            <v>0.2</v>
          </cell>
          <cell r="P428">
            <v>1</v>
          </cell>
          <cell r="R428">
            <v>139</v>
          </cell>
          <cell r="S428">
            <v>0</v>
          </cell>
          <cell r="T428">
            <v>7.14</v>
          </cell>
          <cell r="U428">
            <v>1.6</v>
          </cell>
          <cell r="V428">
            <v>6</v>
          </cell>
          <cell r="W428">
            <v>-9.92</v>
          </cell>
          <cell r="X428">
            <v>487</v>
          </cell>
          <cell r="Y428">
            <v>0</v>
          </cell>
        </row>
        <row r="429">
          <cell r="B429" t="str">
            <v>Silo 2M</v>
          </cell>
          <cell r="C429">
            <v>81210</v>
          </cell>
          <cell r="D429">
            <v>2013</v>
          </cell>
          <cell r="E429">
            <v>34.5</v>
          </cell>
          <cell r="F429">
            <v>73</v>
          </cell>
          <cell r="G429">
            <v>196</v>
          </cell>
          <cell r="H429">
            <v>33</v>
          </cell>
          <cell r="I429">
            <v>38</v>
          </cell>
          <cell r="J429">
            <v>200</v>
          </cell>
          <cell r="K429">
            <v>330</v>
          </cell>
          <cell r="L429">
            <v>2.4</v>
          </cell>
          <cell r="M429">
            <v>11.3</v>
          </cell>
          <cell r="N429">
            <v>2.5</v>
          </cell>
          <cell r="O429">
            <v>0.1</v>
          </cell>
          <cell r="P429">
            <v>1</v>
          </cell>
          <cell r="R429">
            <v>138</v>
          </cell>
          <cell r="S429">
            <v>0</v>
          </cell>
          <cell r="T429">
            <v>7.15</v>
          </cell>
          <cell r="U429">
            <v>1.41</v>
          </cell>
          <cell r="W429">
            <v>-10.4</v>
          </cell>
          <cell r="X429">
            <v>526</v>
          </cell>
          <cell r="Y429">
            <v>0</v>
          </cell>
        </row>
        <row r="430">
          <cell r="B430" t="str">
            <v>Silo 9</v>
          </cell>
          <cell r="C430">
            <v>81211</v>
          </cell>
          <cell r="D430">
            <v>2013</v>
          </cell>
          <cell r="E430">
            <v>36</v>
          </cell>
          <cell r="F430">
            <v>197</v>
          </cell>
          <cell r="G430">
            <v>297</v>
          </cell>
          <cell r="H430">
            <v>44</v>
          </cell>
          <cell r="I430">
            <v>105</v>
          </cell>
          <cell r="J430">
            <v>301</v>
          </cell>
          <cell r="K430">
            <v>470</v>
          </cell>
          <cell r="L430">
            <v>5.8</v>
          </cell>
          <cell r="M430">
            <v>28.4</v>
          </cell>
          <cell r="N430">
            <v>4.2</v>
          </cell>
          <cell r="O430">
            <v>1.6</v>
          </cell>
          <cell r="P430">
            <v>1.9</v>
          </cell>
          <cell r="R430">
            <v>142</v>
          </cell>
          <cell r="S430">
            <v>0</v>
          </cell>
          <cell r="T430">
            <v>6.13</v>
          </cell>
          <cell r="U430">
            <v>2.97</v>
          </cell>
          <cell r="W430">
            <v>8.8000000000000007</v>
          </cell>
          <cell r="X430">
            <v>184</v>
          </cell>
          <cell r="Y430">
            <v>0</v>
          </cell>
        </row>
        <row r="431">
          <cell r="B431" t="str">
            <v>Treber</v>
          </cell>
          <cell r="C431">
            <v>81212</v>
          </cell>
          <cell r="D431">
            <v>2014</v>
          </cell>
          <cell r="E431">
            <v>23.6</v>
          </cell>
          <cell r="F431">
            <v>235</v>
          </cell>
          <cell r="G431">
            <v>101</v>
          </cell>
          <cell r="H431">
            <v>73</v>
          </cell>
          <cell r="I431">
            <v>48</v>
          </cell>
          <cell r="J431">
            <v>282</v>
          </cell>
          <cell r="K431">
            <v>547</v>
          </cell>
          <cell r="L431">
            <v>9.3000000000000007</v>
          </cell>
          <cell r="M431">
            <v>2</v>
          </cell>
          <cell r="N431">
            <v>4.0999999999999996</v>
          </cell>
          <cell r="O431">
            <v>0.1</v>
          </cell>
          <cell r="P431">
            <v>2.9</v>
          </cell>
          <cell r="R431">
            <v>199</v>
          </cell>
          <cell r="S431">
            <v>0</v>
          </cell>
          <cell r="T431">
            <v>6.57</v>
          </cell>
          <cell r="W431">
            <v>5.76</v>
          </cell>
          <cell r="X431">
            <v>97</v>
          </cell>
          <cell r="Y431">
            <v>0</v>
          </cell>
        </row>
        <row r="432">
          <cell r="B432" t="str">
            <v>WGB 37/47/10,5/4/1/0,5</v>
          </cell>
          <cell r="C432">
            <v>81213</v>
          </cell>
          <cell r="D432">
            <v>2014</v>
          </cell>
          <cell r="E432">
            <v>89.8</v>
          </cell>
          <cell r="F432">
            <v>121</v>
          </cell>
          <cell r="G432">
            <v>165</v>
          </cell>
          <cell r="H432">
            <v>19</v>
          </cell>
          <cell r="I432">
            <v>67</v>
          </cell>
          <cell r="J432">
            <v>117</v>
          </cell>
          <cell r="K432">
            <v>165</v>
          </cell>
          <cell r="L432">
            <v>7.8</v>
          </cell>
          <cell r="M432">
            <v>7.7</v>
          </cell>
          <cell r="N432">
            <v>8.5</v>
          </cell>
          <cell r="O432">
            <v>4.8</v>
          </cell>
          <cell r="P432">
            <v>2.7</v>
          </cell>
          <cell r="R432">
            <v>159</v>
          </cell>
          <cell r="S432">
            <v>0</v>
          </cell>
          <cell r="T432">
            <v>8.02</v>
          </cell>
          <cell r="W432">
            <v>-6.08</v>
          </cell>
          <cell r="X432">
            <v>628</v>
          </cell>
          <cell r="Y432">
            <v>0</v>
          </cell>
        </row>
        <row r="433">
          <cell r="B433" t="str">
            <v>RES</v>
          </cell>
          <cell r="C433">
            <v>81214</v>
          </cell>
          <cell r="D433">
            <v>2014</v>
          </cell>
          <cell r="E433">
            <v>88.8</v>
          </cell>
          <cell r="F433">
            <v>377</v>
          </cell>
          <cell r="G433">
            <v>161</v>
          </cell>
          <cell r="H433">
            <v>21</v>
          </cell>
          <cell r="I433">
            <v>80</v>
          </cell>
          <cell r="J433">
            <v>244</v>
          </cell>
          <cell r="K433">
            <v>324</v>
          </cell>
          <cell r="L433">
            <v>16</v>
          </cell>
          <cell r="M433">
            <v>13</v>
          </cell>
          <cell r="N433">
            <v>8.6</v>
          </cell>
          <cell r="O433">
            <v>0.5</v>
          </cell>
          <cell r="P433">
            <v>4.5999999999999996</v>
          </cell>
          <cell r="R433">
            <v>249</v>
          </cell>
          <cell r="S433">
            <v>0</v>
          </cell>
          <cell r="T433">
            <v>7.25</v>
          </cell>
          <cell r="W433">
            <v>20.48</v>
          </cell>
          <cell r="X433">
            <v>198</v>
          </cell>
          <cell r="Y433">
            <v>0</v>
          </cell>
        </row>
        <row r="434">
          <cell r="B434" t="str">
            <v>Heu, 2. S.</v>
          </cell>
          <cell r="C434">
            <v>81215</v>
          </cell>
          <cell r="D434">
            <v>2013</v>
          </cell>
          <cell r="E434">
            <v>90.5</v>
          </cell>
          <cell r="F434">
            <v>156</v>
          </cell>
          <cell r="G434">
            <v>333</v>
          </cell>
          <cell r="H434">
            <v>28</v>
          </cell>
          <cell r="I434">
            <v>78</v>
          </cell>
          <cell r="J434">
            <v>321</v>
          </cell>
          <cell r="K434">
            <v>499</v>
          </cell>
          <cell r="L434">
            <v>6.1</v>
          </cell>
          <cell r="M434">
            <v>15.5</v>
          </cell>
          <cell r="N434">
            <v>4.5999999999999996</v>
          </cell>
          <cell r="O434">
            <v>5.6</v>
          </cell>
          <cell r="P434">
            <v>2.1</v>
          </cell>
          <cell r="R434">
            <v>148</v>
          </cell>
          <cell r="S434">
            <v>0</v>
          </cell>
          <cell r="T434">
            <v>6.29</v>
          </cell>
          <cell r="U434">
            <v>3.14</v>
          </cell>
          <cell r="W434">
            <v>1.28</v>
          </cell>
          <cell r="X434">
            <v>239</v>
          </cell>
          <cell r="Y434">
            <v>0</v>
          </cell>
        </row>
        <row r="435">
          <cell r="B435" t="str">
            <v>Stroh, Gerste</v>
          </cell>
          <cell r="C435">
            <v>81216</v>
          </cell>
          <cell r="D435">
            <v>2013</v>
          </cell>
          <cell r="E435">
            <v>91.6</v>
          </cell>
          <cell r="F435">
            <v>22</v>
          </cell>
          <cell r="G435">
            <v>469</v>
          </cell>
          <cell r="H435">
            <v>11</v>
          </cell>
          <cell r="I435">
            <v>40</v>
          </cell>
          <cell r="J435">
            <v>553</v>
          </cell>
          <cell r="K435">
            <v>795</v>
          </cell>
          <cell r="L435">
            <v>1</v>
          </cell>
          <cell r="M435">
            <v>8.3000000000000007</v>
          </cell>
          <cell r="N435">
            <v>2.2000000000000002</v>
          </cell>
          <cell r="O435">
            <v>0.2</v>
          </cell>
          <cell r="P435">
            <v>0.3</v>
          </cell>
          <cell r="R435">
            <v>71</v>
          </cell>
          <cell r="S435">
            <v>0</v>
          </cell>
          <cell r="T435">
            <v>3.82</v>
          </cell>
          <cell r="W435">
            <v>-7.84</v>
          </cell>
          <cell r="X435">
            <v>132</v>
          </cell>
          <cell r="Y435">
            <v>0</v>
          </cell>
        </row>
        <row r="436">
          <cell r="B436" t="str">
            <v>Treber</v>
          </cell>
          <cell r="C436">
            <v>81219</v>
          </cell>
          <cell r="D436">
            <v>2014</v>
          </cell>
          <cell r="E436">
            <v>26.2</v>
          </cell>
          <cell r="F436">
            <v>201</v>
          </cell>
          <cell r="G436">
            <v>215</v>
          </cell>
          <cell r="H436">
            <v>86</v>
          </cell>
          <cell r="I436">
            <v>47</v>
          </cell>
          <cell r="J436">
            <v>276</v>
          </cell>
          <cell r="K436">
            <v>586</v>
          </cell>
          <cell r="L436">
            <v>8.6</v>
          </cell>
          <cell r="M436">
            <v>2</v>
          </cell>
          <cell r="N436">
            <v>3.4</v>
          </cell>
          <cell r="O436">
            <v>0.1</v>
          </cell>
          <cell r="P436">
            <v>2.1</v>
          </cell>
          <cell r="R436">
            <v>186</v>
          </cell>
          <cell r="S436">
            <v>0</v>
          </cell>
          <cell r="T436">
            <v>6.65</v>
          </cell>
          <cell r="W436">
            <v>2.4</v>
          </cell>
          <cell r="X436">
            <v>80</v>
          </cell>
          <cell r="Y436">
            <v>0</v>
          </cell>
        </row>
        <row r="437">
          <cell r="B437" t="str">
            <v>SoBlES</v>
          </cell>
          <cell r="C437">
            <v>81220</v>
          </cell>
          <cell r="D437">
            <v>2014</v>
          </cell>
          <cell r="E437">
            <v>88.8</v>
          </cell>
          <cell r="F437">
            <v>315</v>
          </cell>
          <cell r="G437">
            <v>280</v>
          </cell>
          <cell r="H437">
            <v>46</v>
          </cell>
          <cell r="I437">
            <v>69</v>
          </cell>
          <cell r="J437">
            <v>308</v>
          </cell>
          <cell r="K437">
            <v>418</v>
          </cell>
          <cell r="L437">
            <v>15.7</v>
          </cell>
          <cell r="M437">
            <v>15.7</v>
          </cell>
          <cell r="N437">
            <v>4.7</v>
          </cell>
          <cell r="O437">
            <v>0.2</v>
          </cell>
          <cell r="P437">
            <v>5.2</v>
          </cell>
          <cell r="R437">
            <v>196</v>
          </cell>
          <cell r="S437">
            <v>0</v>
          </cell>
          <cell r="T437">
            <v>6.68</v>
          </cell>
          <cell r="U437">
            <v>0.5</v>
          </cell>
          <cell r="W437">
            <v>19.04</v>
          </cell>
          <cell r="X437">
            <v>152</v>
          </cell>
          <cell r="Y437">
            <v>0</v>
          </cell>
        </row>
        <row r="438">
          <cell r="B438" t="str">
            <v>Silo 2M</v>
          </cell>
          <cell r="C438">
            <v>81223</v>
          </cell>
          <cell r="D438">
            <v>2013</v>
          </cell>
          <cell r="E438">
            <v>35.1</v>
          </cell>
          <cell r="F438">
            <v>78</v>
          </cell>
          <cell r="G438">
            <v>192</v>
          </cell>
          <cell r="H438">
            <v>35</v>
          </cell>
          <cell r="I438">
            <v>38</v>
          </cell>
          <cell r="J438">
            <v>202</v>
          </cell>
          <cell r="K438">
            <v>336</v>
          </cell>
          <cell r="L438">
            <v>2.7</v>
          </cell>
          <cell r="M438">
            <v>9.4</v>
          </cell>
          <cell r="N438">
            <v>2.6</v>
          </cell>
          <cell r="O438">
            <v>0.2</v>
          </cell>
          <cell r="P438">
            <v>1.2</v>
          </cell>
          <cell r="R438">
            <v>138</v>
          </cell>
          <cell r="S438">
            <v>0</v>
          </cell>
          <cell r="T438">
            <v>7.05</v>
          </cell>
          <cell r="U438">
            <v>1.44</v>
          </cell>
          <cell r="V438">
            <v>7</v>
          </cell>
          <cell r="W438">
            <v>-9.6</v>
          </cell>
          <cell r="X438">
            <v>513</v>
          </cell>
          <cell r="Y438">
            <v>0</v>
          </cell>
        </row>
        <row r="439">
          <cell r="B439" t="str">
            <v>Silo 9</v>
          </cell>
          <cell r="C439">
            <v>81224</v>
          </cell>
          <cell r="D439">
            <v>2013</v>
          </cell>
          <cell r="E439">
            <v>35.700000000000003</v>
          </cell>
          <cell r="F439">
            <v>182</v>
          </cell>
          <cell r="G439">
            <v>287</v>
          </cell>
          <cell r="H439">
            <v>36</v>
          </cell>
          <cell r="I439">
            <v>107</v>
          </cell>
          <cell r="J439">
            <v>290</v>
          </cell>
          <cell r="K439">
            <v>468</v>
          </cell>
          <cell r="L439">
            <v>5.5</v>
          </cell>
          <cell r="M439">
            <v>30.9</v>
          </cell>
          <cell r="N439">
            <v>4.5999999999999996</v>
          </cell>
          <cell r="O439">
            <v>1</v>
          </cell>
          <cell r="P439">
            <v>2</v>
          </cell>
          <cell r="R439">
            <v>139</v>
          </cell>
          <cell r="S439">
            <v>0</v>
          </cell>
          <cell r="T439">
            <v>6.07</v>
          </cell>
          <cell r="U439">
            <v>2.96</v>
          </cell>
          <cell r="V439">
            <v>55</v>
          </cell>
          <cell r="W439">
            <v>6.88</v>
          </cell>
          <cell r="X439">
            <v>207</v>
          </cell>
          <cell r="Y439">
            <v>0</v>
          </cell>
        </row>
        <row r="440">
          <cell r="B440" t="str">
            <v>Treber</v>
          </cell>
          <cell r="C440">
            <v>81225</v>
          </cell>
          <cell r="D440">
            <v>2014</v>
          </cell>
          <cell r="E440">
            <v>23.5</v>
          </cell>
          <cell r="F440">
            <v>241</v>
          </cell>
          <cell r="G440">
            <v>189</v>
          </cell>
          <cell r="H440">
            <v>69</v>
          </cell>
          <cell r="I440">
            <v>39</v>
          </cell>
          <cell r="J440">
            <v>260</v>
          </cell>
          <cell r="K440">
            <v>550</v>
          </cell>
          <cell r="L440">
            <v>8.9</v>
          </cell>
          <cell r="M440">
            <v>2.2999999999999998</v>
          </cell>
          <cell r="N440">
            <v>5.4</v>
          </cell>
          <cell r="O440">
            <v>0.1</v>
          </cell>
          <cell r="P440">
            <v>1.8</v>
          </cell>
          <cell r="R440">
            <v>201</v>
          </cell>
          <cell r="S440">
            <v>0</v>
          </cell>
          <cell r="T440">
            <v>6.59</v>
          </cell>
          <cell r="U440">
            <v>1.05</v>
          </cell>
          <cell r="W440">
            <v>6.4</v>
          </cell>
          <cell r="X440">
            <v>101</v>
          </cell>
          <cell r="Y440">
            <v>0</v>
          </cell>
        </row>
        <row r="441">
          <cell r="B441" t="str">
            <v>WGB 37/47/10/4/1,5/0,5</v>
          </cell>
          <cell r="C441">
            <v>81226</v>
          </cell>
          <cell r="D441">
            <v>2014</v>
          </cell>
          <cell r="E441">
            <v>89.8</v>
          </cell>
          <cell r="F441">
            <v>123</v>
          </cell>
          <cell r="G441">
            <v>73</v>
          </cell>
          <cell r="H441">
            <v>18</v>
          </cell>
          <cell r="I441">
            <v>64</v>
          </cell>
          <cell r="J441">
            <v>81</v>
          </cell>
          <cell r="K441">
            <v>193</v>
          </cell>
          <cell r="L441">
            <v>7.8</v>
          </cell>
          <cell r="M441">
            <v>8.5</v>
          </cell>
          <cell r="N441">
            <v>6</v>
          </cell>
          <cell r="O441">
            <v>4.5999999999999996</v>
          </cell>
          <cell r="P441">
            <v>2.2000000000000002</v>
          </cell>
          <cell r="R441">
            <v>160</v>
          </cell>
          <cell r="S441">
            <v>0</v>
          </cell>
          <cell r="T441">
            <v>8.1</v>
          </cell>
          <cell r="W441">
            <v>-5.92</v>
          </cell>
          <cell r="X441">
            <v>602</v>
          </cell>
          <cell r="Y441">
            <v>0</v>
          </cell>
        </row>
        <row r="442">
          <cell r="B442" t="str">
            <v>RES</v>
          </cell>
          <cell r="C442">
            <v>81227</v>
          </cell>
          <cell r="D442">
            <v>2014</v>
          </cell>
          <cell r="E442">
            <v>88.8</v>
          </cell>
          <cell r="F442">
            <v>383</v>
          </cell>
          <cell r="G442">
            <v>164</v>
          </cell>
          <cell r="H442">
            <v>21</v>
          </cell>
          <cell r="I442">
            <v>78</v>
          </cell>
          <cell r="J442">
            <v>232</v>
          </cell>
          <cell r="K442">
            <v>296</v>
          </cell>
          <cell r="L442">
            <v>17.2</v>
          </cell>
          <cell r="M442">
            <v>14.8</v>
          </cell>
          <cell r="N442">
            <v>7.3</v>
          </cell>
          <cell r="O442">
            <v>0.5</v>
          </cell>
          <cell r="P442">
            <v>5.2</v>
          </cell>
          <cell r="R442">
            <v>252</v>
          </cell>
          <cell r="S442">
            <v>0</v>
          </cell>
          <cell r="T442">
            <v>7.27</v>
          </cell>
          <cell r="W442">
            <v>20.96</v>
          </cell>
          <cell r="X442">
            <v>222</v>
          </cell>
          <cell r="Y442">
            <v>0</v>
          </cell>
        </row>
        <row r="443">
          <cell r="B443" t="str">
            <v>Heu, 2. S.</v>
          </cell>
          <cell r="C443">
            <v>81228</v>
          </cell>
          <cell r="D443">
            <v>2013</v>
          </cell>
          <cell r="E443">
            <v>90.7</v>
          </cell>
          <cell r="F443">
            <v>158</v>
          </cell>
          <cell r="G443">
            <v>299</v>
          </cell>
          <cell r="H443">
            <v>21</v>
          </cell>
          <cell r="I443">
            <v>72</v>
          </cell>
          <cell r="J443">
            <v>302</v>
          </cell>
          <cell r="K443">
            <v>496</v>
          </cell>
          <cell r="L443">
            <v>5.6</v>
          </cell>
          <cell r="M443">
            <v>17.8</v>
          </cell>
          <cell r="N443">
            <v>4.0999999999999996</v>
          </cell>
          <cell r="O443">
            <v>4.4000000000000004</v>
          </cell>
          <cell r="P443">
            <v>1.8</v>
          </cell>
          <cell r="R443">
            <v>147</v>
          </cell>
          <cell r="S443">
            <v>0</v>
          </cell>
          <cell r="T443">
            <v>6.19</v>
          </cell>
          <cell r="U443">
            <v>3.12</v>
          </cell>
          <cell r="W443">
            <v>1.76</v>
          </cell>
          <cell r="X443">
            <v>253</v>
          </cell>
          <cell r="Y443">
            <v>0</v>
          </cell>
        </row>
        <row r="444">
          <cell r="B444" t="str">
            <v>Stroh, Gerste</v>
          </cell>
          <cell r="C444">
            <v>81229</v>
          </cell>
          <cell r="D444">
            <v>2013</v>
          </cell>
          <cell r="E444">
            <v>92.7</v>
          </cell>
          <cell r="F444">
            <v>31</v>
          </cell>
          <cell r="G444">
            <v>470</v>
          </cell>
          <cell r="H444">
            <v>13</v>
          </cell>
          <cell r="I444">
            <v>52</v>
          </cell>
          <cell r="J444">
            <v>534</v>
          </cell>
          <cell r="K444">
            <v>809</v>
          </cell>
          <cell r="L444">
            <v>0.9</v>
          </cell>
          <cell r="M444">
            <v>17.2</v>
          </cell>
          <cell r="N444">
            <v>2.6</v>
          </cell>
          <cell r="O444">
            <v>0.4</v>
          </cell>
          <cell r="P444">
            <v>0.4</v>
          </cell>
          <cell r="R444">
            <v>75</v>
          </cell>
          <cell r="S444">
            <v>0</v>
          </cell>
          <cell r="T444">
            <v>3.79</v>
          </cell>
          <cell r="W444">
            <v>-7.04</v>
          </cell>
          <cell r="X444">
            <v>95</v>
          </cell>
          <cell r="Y444">
            <v>0</v>
          </cell>
        </row>
        <row r="445">
          <cell r="B445" t="str">
            <v>Pressschnitzel</v>
          </cell>
          <cell r="C445">
            <v>81230</v>
          </cell>
          <cell r="D445">
            <v>2013</v>
          </cell>
          <cell r="E445">
            <v>30.7</v>
          </cell>
          <cell r="F445">
            <v>79</v>
          </cell>
          <cell r="G445">
            <v>204</v>
          </cell>
          <cell r="H445">
            <v>5</v>
          </cell>
          <cell r="I445">
            <v>96</v>
          </cell>
          <cell r="J445">
            <v>217</v>
          </cell>
          <cell r="K445">
            <v>431</v>
          </cell>
          <cell r="L445">
            <v>1.2</v>
          </cell>
          <cell r="M445">
            <v>4.5</v>
          </cell>
          <cell r="N445">
            <v>9.3000000000000007</v>
          </cell>
          <cell r="O445">
            <v>0.3</v>
          </cell>
          <cell r="P445">
            <v>1.7</v>
          </cell>
          <cell r="R445">
            <v>138</v>
          </cell>
          <cell r="S445">
            <v>0</v>
          </cell>
          <cell r="T445">
            <v>7.15</v>
          </cell>
          <cell r="V445">
            <v>16</v>
          </cell>
          <cell r="W445">
            <v>-9.44</v>
          </cell>
          <cell r="X445">
            <v>389</v>
          </cell>
          <cell r="Y445">
            <v>0</v>
          </cell>
        </row>
        <row r="446">
          <cell r="B446" t="str">
            <v>Silo 2M</v>
          </cell>
          <cell r="C446">
            <v>81240</v>
          </cell>
          <cell r="D446">
            <v>2013</v>
          </cell>
          <cell r="E446">
            <v>35.5</v>
          </cell>
          <cell r="F446">
            <v>75</v>
          </cell>
          <cell r="G446">
            <v>195</v>
          </cell>
          <cell r="H446">
            <v>32</v>
          </cell>
          <cell r="I446">
            <v>36</v>
          </cell>
          <cell r="J446">
            <v>201</v>
          </cell>
          <cell r="K446">
            <v>327</v>
          </cell>
          <cell r="L446">
            <v>2.7</v>
          </cell>
          <cell r="M446">
            <v>10.9</v>
          </cell>
          <cell r="N446">
            <v>2.6</v>
          </cell>
          <cell r="O446">
            <v>0.1</v>
          </cell>
          <cell r="P446">
            <v>1.2</v>
          </cell>
          <cell r="R446">
            <v>140</v>
          </cell>
          <cell r="S446">
            <v>0</v>
          </cell>
          <cell r="T446">
            <v>7.2</v>
          </cell>
          <cell r="U446">
            <v>1.39</v>
          </cell>
          <cell r="W446">
            <v>-10.4</v>
          </cell>
          <cell r="X446">
            <v>530</v>
          </cell>
          <cell r="Y446">
            <v>0</v>
          </cell>
        </row>
        <row r="447">
          <cell r="B447" t="str">
            <v>Silo 9</v>
          </cell>
          <cell r="C447">
            <v>81241</v>
          </cell>
          <cell r="D447">
            <v>2013</v>
          </cell>
          <cell r="E447">
            <v>35.700000000000003</v>
          </cell>
          <cell r="F447">
            <v>184</v>
          </cell>
          <cell r="G447">
            <v>289</v>
          </cell>
          <cell r="H447">
            <v>37</v>
          </cell>
          <cell r="I447">
            <v>11</v>
          </cell>
          <cell r="J447">
            <v>107</v>
          </cell>
          <cell r="K447">
            <v>470</v>
          </cell>
          <cell r="L447">
            <v>5.6</v>
          </cell>
          <cell r="M447">
            <v>34</v>
          </cell>
          <cell r="N447">
            <v>5.2</v>
          </cell>
          <cell r="O447">
            <v>1.4</v>
          </cell>
          <cell r="P447">
            <v>2.1</v>
          </cell>
          <cell r="R447">
            <v>141</v>
          </cell>
          <cell r="S447">
            <v>0</v>
          </cell>
          <cell r="T447">
            <v>6.19</v>
          </cell>
          <cell r="U447">
            <v>2.97</v>
          </cell>
          <cell r="W447">
            <v>6.88</v>
          </cell>
          <cell r="X447">
            <v>298</v>
          </cell>
          <cell r="Y447">
            <v>0</v>
          </cell>
        </row>
        <row r="448">
          <cell r="B448" t="str">
            <v>WGB 37/47/10/4/1,5/0,5</v>
          </cell>
          <cell r="C448">
            <v>81243</v>
          </cell>
          <cell r="D448">
            <v>2014</v>
          </cell>
          <cell r="E448">
            <v>90.3</v>
          </cell>
          <cell r="F448">
            <v>130</v>
          </cell>
          <cell r="G448">
            <v>78</v>
          </cell>
          <cell r="H448">
            <v>20</v>
          </cell>
          <cell r="I448">
            <v>166</v>
          </cell>
          <cell r="J448">
            <v>57</v>
          </cell>
          <cell r="K448">
            <v>163</v>
          </cell>
          <cell r="L448">
            <v>13.3</v>
          </cell>
          <cell r="M448">
            <v>7.2</v>
          </cell>
          <cell r="N448">
            <v>26.8</v>
          </cell>
          <cell r="O448">
            <v>12.4</v>
          </cell>
          <cell r="P448">
            <v>5.9</v>
          </cell>
          <cell r="R448">
            <v>149</v>
          </cell>
          <cell r="S448">
            <v>0</v>
          </cell>
          <cell r="T448">
            <v>7.34</v>
          </cell>
          <cell r="W448">
            <v>-3.04</v>
          </cell>
          <cell r="X448">
            <v>521</v>
          </cell>
          <cell r="Y448">
            <v>0</v>
          </cell>
        </row>
        <row r="449">
          <cell r="B449" t="str">
            <v>RES</v>
          </cell>
          <cell r="C449">
            <v>81244</v>
          </cell>
          <cell r="D449">
            <v>2014</v>
          </cell>
          <cell r="E449">
            <v>88.7</v>
          </cell>
          <cell r="F449">
            <v>386</v>
          </cell>
          <cell r="G449">
            <v>147</v>
          </cell>
          <cell r="H449">
            <v>24</v>
          </cell>
          <cell r="I449">
            <v>78</v>
          </cell>
          <cell r="J449">
            <v>231</v>
          </cell>
          <cell r="K449">
            <v>307</v>
          </cell>
          <cell r="L449">
            <v>17.100000000000001</v>
          </cell>
          <cell r="M449">
            <v>14.4</v>
          </cell>
          <cell r="N449">
            <v>8.1999999999999993</v>
          </cell>
          <cell r="O449">
            <v>0.3</v>
          </cell>
          <cell r="P449">
            <v>4.5999999999999996</v>
          </cell>
          <cell r="R449">
            <v>254</v>
          </cell>
          <cell r="S449">
            <v>0</v>
          </cell>
          <cell r="T449">
            <v>7.31</v>
          </cell>
          <cell r="U449">
            <v>0.36</v>
          </cell>
          <cell r="W449">
            <v>21.12</v>
          </cell>
          <cell r="X449">
            <v>205</v>
          </cell>
          <cell r="Y449">
            <v>0</v>
          </cell>
        </row>
        <row r="450">
          <cell r="B450" t="str">
            <v>Heu, 2. S.</v>
          </cell>
          <cell r="C450">
            <v>81245</v>
          </cell>
          <cell r="D450">
            <v>2013</v>
          </cell>
          <cell r="E450">
            <v>89.2</v>
          </cell>
          <cell r="F450">
            <v>158</v>
          </cell>
          <cell r="G450">
            <v>281</v>
          </cell>
          <cell r="H450">
            <v>23</v>
          </cell>
          <cell r="I450">
            <v>81</v>
          </cell>
          <cell r="J450">
            <v>305</v>
          </cell>
          <cell r="K450">
            <v>492</v>
          </cell>
          <cell r="L450">
            <v>5.7</v>
          </cell>
          <cell r="M450">
            <v>25.9</v>
          </cell>
          <cell r="N450">
            <v>4</v>
          </cell>
          <cell r="O450">
            <v>1.9</v>
          </cell>
          <cell r="P450">
            <v>1.7</v>
          </cell>
          <cell r="R450">
            <v>147</v>
          </cell>
          <cell r="S450">
            <v>0</v>
          </cell>
          <cell r="T450">
            <v>6.18</v>
          </cell>
          <cell r="W450">
            <v>1.76</v>
          </cell>
          <cell r="X450">
            <v>246</v>
          </cell>
          <cell r="Y450">
            <v>0</v>
          </cell>
        </row>
        <row r="451">
          <cell r="B451" t="str">
            <v>Stroh, Gerste</v>
          </cell>
          <cell r="C451">
            <v>81246</v>
          </cell>
          <cell r="D451">
            <v>2013</v>
          </cell>
          <cell r="E451">
            <v>89</v>
          </cell>
          <cell r="F451">
            <v>32</v>
          </cell>
          <cell r="G451">
            <v>490</v>
          </cell>
          <cell r="H451">
            <v>13</v>
          </cell>
          <cell r="I451">
            <v>56</v>
          </cell>
          <cell r="J451">
            <v>490</v>
          </cell>
          <cell r="K451">
            <v>552</v>
          </cell>
          <cell r="L451">
            <v>1</v>
          </cell>
          <cell r="M451">
            <v>19.8</v>
          </cell>
          <cell r="N451">
            <v>2.7</v>
          </cell>
          <cell r="O451">
            <v>0.6</v>
          </cell>
          <cell r="P451">
            <v>5.5</v>
          </cell>
          <cell r="R451">
            <v>75</v>
          </cell>
          <cell r="S451">
            <v>0</v>
          </cell>
          <cell r="T451">
            <v>3.76</v>
          </cell>
          <cell r="W451">
            <v>-6.88</v>
          </cell>
          <cell r="X451">
            <v>347</v>
          </cell>
          <cell r="Y451">
            <v>0</v>
          </cell>
        </row>
        <row r="452">
          <cell r="B452" t="str">
            <v>Pressschnitzel</v>
          </cell>
          <cell r="C452">
            <v>81247</v>
          </cell>
          <cell r="D452">
            <v>2013</v>
          </cell>
          <cell r="E452">
            <v>30</v>
          </cell>
          <cell r="F452">
            <v>83</v>
          </cell>
          <cell r="G452">
            <v>209</v>
          </cell>
          <cell r="H452">
            <v>7</v>
          </cell>
          <cell r="I452">
            <v>98</v>
          </cell>
          <cell r="J452">
            <v>219</v>
          </cell>
          <cell r="K452">
            <v>412</v>
          </cell>
          <cell r="L452">
            <v>1.2</v>
          </cell>
          <cell r="M452">
            <v>3.9</v>
          </cell>
          <cell r="N452">
            <v>10.8</v>
          </cell>
          <cell r="O452">
            <v>0.2</v>
          </cell>
          <cell r="P452">
            <v>1.8</v>
          </cell>
          <cell r="R452">
            <v>139</v>
          </cell>
          <cell r="S452">
            <v>0</v>
          </cell>
          <cell r="T452">
            <v>7.14</v>
          </cell>
          <cell r="U452">
            <v>1.05</v>
          </cell>
          <cell r="W452">
            <v>-8.9600000000000009</v>
          </cell>
          <cell r="X452">
            <v>400</v>
          </cell>
          <cell r="Y452">
            <v>0</v>
          </cell>
        </row>
        <row r="453">
          <cell r="B453" t="str">
            <v>Silo 5</v>
          </cell>
          <cell r="C453">
            <v>81252</v>
          </cell>
          <cell r="D453">
            <v>2012</v>
          </cell>
          <cell r="E453">
            <v>37.6</v>
          </cell>
          <cell r="F453">
            <v>80</v>
          </cell>
          <cell r="G453">
            <v>179</v>
          </cell>
          <cell r="H453">
            <v>38</v>
          </cell>
          <cell r="I453">
            <v>41</v>
          </cell>
          <cell r="J453">
            <v>203</v>
          </cell>
          <cell r="K453">
            <v>315</v>
          </cell>
          <cell r="L453">
            <v>3</v>
          </cell>
          <cell r="M453">
            <v>11.5</v>
          </cell>
          <cell r="N453">
            <v>2.4</v>
          </cell>
          <cell r="O453">
            <v>0.2</v>
          </cell>
          <cell r="P453">
            <v>1.1000000000000001</v>
          </cell>
          <cell r="R453">
            <v>143</v>
          </cell>
          <cell r="S453">
            <v>0</v>
          </cell>
          <cell r="T453">
            <v>7.37</v>
          </cell>
          <cell r="U453">
            <v>1.32</v>
          </cell>
          <cell r="W453">
            <v>-10.08</v>
          </cell>
          <cell r="X453">
            <v>526</v>
          </cell>
          <cell r="Y453">
            <v>0</v>
          </cell>
        </row>
        <row r="454">
          <cell r="B454" t="str">
            <v>Silo 9</v>
          </cell>
          <cell r="C454">
            <v>81253</v>
          </cell>
          <cell r="D454">
            <v>2013</v>
          </cell>
          <cell r="E454">
            <v>35.5</v>
          </cell>
          <cell r="F454">
            <v>183</v>
          </cell>
          <cell r="G454">
            <v>294</v>
          </cell>
          <cell r="H454">
            <v>42</v>
          </cell>
          <cell r="I454">
            <v>104</v>
          </cell>
          <cell r="J454">
            <v>300</v>
          </cell>
          <cell r="K454">
            <v>466</v>
          </cell>
          <cell r="L454">
            <v>5.7</v>
          </cell>
          <cell r="M454">
            <v>34.1</v>
          </cell>
          <cell r="N454">
            <v>4.9000000000000004</v>
          </cell>
          <cell r="O454">
            <v>2.4</v>
          </cell>
          <cell r="P454">
            <v>2</v>
          </cell>
          <cell r="R454">
            <v>144</v>
          </cell>
          <cell r="S454">
            <v>0</v>
          </cell>
          <cell r="T454">
            <v>6.41</v>
          </cell>
          <cell r="U454">
            <v>2.95</v>
          </cell>
          <cell r="W454">
            <v>6.24</v>
          </cell>
          <cell r="X454">
            <v>205</v>
          </cell>
          <cell r="Y454">
            <v>0</v>
          </cell>
        </row>
        <row r="455">
          <cell r="B455" t="str">
            <v>Treber</v>
          </cell>
          <cell r="C455">
            <v>81254</v>
          </cell>
          <cell r="D455">
            <v>2014</v>
          </cell>
          <cell r="E455">
            <v>24.1</v>
          </cell>
          <cell r="F455">
            <v>200</v>
          </cell>
          <cell r="G455">
            <v>188</v>
          </cell>
          <cell r="H455">
            <v>77</v>
          </cell>
          <cell r="I455">
            <v>46</v>
          </cell>
          <cell r="J455">
            <v>270</v>
          </cell>
          <cell r="K455">
            <v>558</v>
          </cell>
          <cell r="L455">
            <v>7.7</v>
          </cell>
          <cell r="M455">
            <v>2.4</v>
          </cell>
          <cell r="N455">
            <v>2.8</v>
          </cell>
          <cell r="O455">
            <v>0.1</v>
          </cell>
          <cell r="P455">
            <v>1.8</v>
          </cell>
          <cell r="R455">
            <v>184</v>
          </cell>
          <cell r="S455">
            <v>0</v>
          </cell>
          <cell r="T455">
            <v>6.59</v>
          </cell>
          <cell r="W455">
            <v>2.56</v>
          </cell>
          <cell r="X455">
            <v>119</v>
          </cell>
          <cell r="Y455">
            <v>0</v>
          </cell>
        </row>
        <row r="456">
          <cell r="B456" t="str">
            <v>WGB 37/47/10/4/1,5/0,5</v>
          </cell>
          <cell r="C456">
            <v>81255</v>
          </cell>
          <cell r="D456">
            <v>2014</v>
          </cell>
          <cell r="E456">
            <v>89.6</v>
          </cell>
          <cell r="F456">
            <v>141</v>
          </cell>
          <cell r="G456">
            <v>101</v>
          </cell>
          <cell r="H456">
            <v>18</v>
          </cell>
          <cell r="I456">
            <v>78</v>
          </cell>
          <cell r="J456">
            <v>50</v>
          </cell>
          <cell r="K456">
            <v>130</v>
          </cell>
          <cell r="L456">
            <v>8.9</v>
          </cell>
          <cell r="M456">
            <v>8.3000000000000007</v>
          </cell>
          <cell r="N456">
            <v>11.2</v>
          </cell>
          <cell r="O456">
            <v>5.9</v>
          </cell>
          <cell r="P456">
            <v>2.8</v>
          </cell>
          <cell r="R456">
            <v>167</v>
          </cell>
          <cell r="S456">
            <v>0</v>
          </cell>
          <cell r="T456">
            <v>8.35</v>
          </cell>
          <cell r="W456">
            <v>-4.16</v>
          </cell>
          <cell r="X456">
            <v>633</v>
          </cell>
          <cell r="Y456">
            <v>0</v>
          </cell>
        </row>
        <row r="457">
          <cell r="B457" t="str">
            <v>RES</v>
          </cell>
          <cell r="C457">
            <v>81256</v>
          </cell>
          <cell r="D457">
            <v>2014</v>
          </cell>
          <cell r="E457">
            <v>88.6</v>
          </cell>
          <cell r="F457">
            <v>379</v>
          </cell>
          <cell r="G457">
            <v>154</v>
          </cell>
          <cell r="H457">
            <v>21</v>
          </cell>
          <cell r="I457">
            <v>77</v>
          </cell>
          <cell r="J457">
            <v>228</v>
          </cell>
          <cell r="K457">
            <v>310</v>
          </cell>
          <cell r="L457">
            <v>16.600000000000001</v>
          </cell>
          <cell r="M457">
            <v>15.8</v>
          </cell>
          <cell r="N457">
            <v>8.1999999999999993</v>
          </cell>
          <cell r="O457">
            <v>0.5</v>
          </cell>
          <cell r="P457">
            <v>4.3</v>
          </cell>
          <cell r="R457">
            <v>250</v>
          </cell>
          <cell r="S457">
            <v>0</v>
          </cell>
          <cell r="T457">
            <v>7.28</v>
          </cell>
          <cell r="W457">
            <v>20.64</v>
          </cell>
          <cell r="X457">
            <v>213</v>
          </cell>
          <cell r="Y457">
            <v>0</v>
          </cell>
        </row>
        <row r="458">
          <cell r="B458" t="str">
            <v>Heu, 2. S.</v>
          </cell>
          <cell r="C458">
            <v>81257</v>
          </cell>
          <cell r="D458">
            <v>2013</v>
          </cell>
          <cell r="E458">
            <v>91.6</v>
          </cell>
          <cell r="F458">
            <v>168</v>
          </cell>
          <cell r="G458">
            <v>293</v>
          </cell>
          <cell r="H458">
            <v>21</v>
          </cell>
          <cell r="I458">
            <v>74</v>
          </cell>
          <cell r="J458">
            <v>297</v>
          </cell>
          <cell r="K458">
            <v>502</v>
          </cell>
          <cell r="L458">
            <v>3.5</v>
          </cell>
          <cell r="M458">
            <v>15.7</v>
          </cell>
          <cell r="N458">
            <v>6.3</v>
          </cell>
          <cell r="O458">
            <v>1.6</v>
          </cell>
          <cell r="P458">
            <v>3.1</v>
          </cell>
          <cell r="R458">
            <v>143</v>
          </cell>
          <cell r="S458">
            <v>0</v>
          </cell>
          <cell r="T458">
            <v>5.78</v>
          </cell>
          <cell r="U458">
            <v>3.16</v>
          </cell>
          <cell r="W458">
            <v>4</v>
          </cell>
          <cell r="X458">
            <v>235</v>
          </cell>
          <cell r="Y458">
            <v>0</v>
          </cell>
        </row>
        <row r="459">
          <cell r="B459" t="str">
            <v>Stroh, Gerste</v>
          </cell>
          <cell r="C459">
            <v>81258</v>
          </cell>
          <cell r="D459">
            <v>2013</v>
          </cell>
          <cell r="E459">
            <v>90.9</v>
          </cell>
          <cell r="F459">
            <v>33</v>
          </cell>
          <cell r="G459">
            <v>488</v>
          </cell>
          <cell r="H459">
            <v>12</v>
          </cell>
          <cell r="I459">
            <v>58</v>
          </cell>
          <cell r="J459">
            <v>555</v>
          </cell>
          <cell r="K459">
            <v>805</v>
          </cell>
          <cell r="L459">
            <v>1.7</v>
          </cell>
          <cell r="M459">
            <v>21.8</v>
          </cell>
          <cell r="N459">
            <v>3</v>
          </cell>
          <cell r="O459">
            <v>0.3</v>
          </cell>
          <cell r="P459">
            <v>0.4</v>
          </cell>
          <cell r="R459">
            <v>76</v>
          </cell>
          <cell r="S459">
            <v>0</v>
          </cell>
          <cell r="T459">
            <v>3.75</v>
          </cell>
          <cell r="W459">
            <v>-6.88</v>
          </cell>
          <cell r="X459">
            <v>92</v>
          </cell>
          <cell r="Y459">
            <v>0</v>
          </cell>
        </row>
        <row r="460">
          <cell r="B460" t="str">
            <v>Pressschnitzel</v>
          </cell>
          <cell r="C460">
            <v>81259</v>
          </cell>
          <cell r="D460">
            <v>2013</v>
          </cell>
          <cell r="F460">
            <v>85</v>
          </cell>
          <cell r="G460">
            <v>195</v>
          </cell>
          <cell r="H460">
            <v>6</v>
          </cell>
          <cell r="I460">
            <v>107</v>
          </cell>
          <cell r="J460">
            <v>227</v>
          </cell>
          <cell r="K460">
            <v>423</v>
          </cell>
          <cell r="L460">
            <v>1.3</v>
          </cell>
          <cell r="M460">
            <v>4.7</v>
          </cell>
          <cell r="N460">
            <v>10.3</v>
          </cell>
          <cell r="O460">
            <v>0.2</v>
          </cell>
          <cell r="P460">
            <v>1.7</v>
          </cell>
          <cell r="R460">
            <v>138</v>
          </cell>
          <cell r="S460">
            <v>0</v>
          </cell>
          <cell r="T460">
            <v>7.09</v>
          </cell>
          <cell r="W460">
            <v>-8.48</v>
          </cell>
          <cell r="X460">
            <v>379</v>
          </cell>
          <cell r="Y460">
            <v>0</v>
          </cell>
        </row>
        <row r="461">
          <cell r="B461" t="str">
            <v>Treber</v>
          </cell>
          <cell r="C461">
            <v>81262</v>
          </cell>
          <cell r="D461">
            <v>2014</v>
          </cell>
          <cell r="E461">
            <v>24</v>
          </cell>
          <cell r="F461">
            <v>202</v>
          </cell>
          <cell r="G461">
            <v>193</v>
          </cell>
          <cell r="H461">
            <v>83</v>
          </cell>
          <cell r="I461">
            <v>47</v>
          </cell>
          <cell r="J461">
            <v>288</v>
          </cell>
          <cell r="K461">
            <v>569</v>
          </cell>
          <cell r="L461">
            <v>8.1999999999999993</v>
          </cell>
          <cell r="M461">
            <v>2.8</v>
          </cell>
          <cell r="N461">
            <v>3.1</v>
          </cell>
          <cell r="O461">
            <v>0.2</v>
          </cell>
          <cell r="P461">
            <v>2.1</v>
          </cell>
          <cell r="R461">
            <v>186</v>
          </cell>
          <cell r="S461">
            <v>0</v>
          </cell>
          <cell r="T461">
            <v>6.63</v>
          </cell>
          <cell r="W461">
            <v>2.56</v>
          </cell>
          <cell r="X461">
            <v>99</v>
          </cell>
          <cell r="Y461">
            <v>0</v>
          </cell>
        </row>
        <row r="462">
          <cell r="B462" t="str">
            <v>Silo 5</v>
          </cell>
          <cell r="C462">
            <v>81265</v>
          </cell>
          <cell r="D462">
            <v>2012</v>
          </cell>
          <cell r="E462">
            <v>36.1</v>
          </cell>
          <cell r="F462">
            <v>75</v>
          </cell>
          <cell r="G462">
            <v>176</v>
          </cell>
          <cell r="H462">
            <v>37</v>
          </cell>
          <cell r="I462">
            <v>36</v>
          </cell>
          <cell r="J462">
            <v>206</v>
          </cell>
          <cell r="K462">
            <v>316</v>
          </cell>
          <cell r="L462">
            <v>3</v>
          </cell>
          <cell r="M462">
            <v>9</v>
          </cell>
          <cell r="N462">
            <v>2.2000000000000002</v>
          </cell>
          <cell r="O462">
            <v>0.2</v>
          </cell>
          <cell r="P462">
            <v>1.1000000000000001</v>
          </cell>
          <cell r="R462">
            <v>140</v>
          </cell>
          <cell r="S462">
            <v>0</v>
          </cell>
          <cell r="T462">
            <v>7.23</v>
          </cell>
          <cell r="U462">
            <v>1.33</v>
          </cell>
          <cell r="W462">
            <v>-10.4</v>
          </cell>
          <cell r="X462">
            <v>536</v>
          </cell>
          <cell r="Y462">
            <v>0</v>
          </cell>
        </row>
        <row r="463">
          <cell r="B463" t="str">
            <v>Silo 9</v>
          </cell>
          <cell r="C463">
            <v>81266</v>
          </cell>
          <cell r="D463">
            <v>2013</v>
          </cell>
          <cell r="E463">
            <v>35.4</v>
          </cell>
          <cell r="F463">
            <v>176</v>
          </cell>
          <cell r="G463">
            <v>289</v>
          </cell>
          <cell r="H463">
            <v>38</v>
          </cell>
          <cell r="I463">
            <v>108</v>
          </cell>
          <cell r="J463">
            <v>296</v>
          </cell>
          <cell r="K463">
            <v>496</v>
          </cell>
          <cell r="L463">
            <v>5.4</v>
          </cell>
          <cell r="M463">
            <v>27.6</v>
          </cell>
          <cell r="N463">
            <v>5.4</v>
          </cell>
          <cell r="O463">
            <v>1.3</v>
          </cell>
          <cell r="P463">
            <v>2.1</v>
          </cell>
          <cell r="R463">
            <v>139</v>
          </cell>
          <cell r="S463">
            <v>0</v>
          </cell>
          <cell r="T463">
            <v>6.13</v>
          </cell>
          <cell r="U463">
            <v>3.12</v>
          </cell>
          <cell r="V463">
            <v>33</v>
          </cell>
          <cell r="W463">
            <v>5.92</v>
          </cell>
          <cell r="X463">
            <v>182</v>
          </cell>
          <cell r="Y463">
            <v>0</v>
          </cell>
        </row>
        <row r="464">
          <cell r="B464" t="str">
            <v>Treber</v>
          </cell>
          <cell r="C464">
            <v>81267</v>
          </cell>
          <cell r="D464">
            <v>2014</v>
          </cell>
          <cell r="E464">
            <v>23.9</v>
          </cell>
          <cell r="F464">
            <v>214</v>
          </cell>
          <cell r="G464">
            <v>186</v>
          </cell>
          <cell r="H464">
            <v>77</v>
          </cell>
          <cell r="I464">
            <v>44</v>
          </cell>
          <cell r="J464">
            <v>273</v>
          </cell>
          <cell r="K464">
            <v>572</v>
          </cell>
          <cell r="L464">
            <v>7.8</v>
          </cell>
          <cell r="M464">
            <v>2.1</v>
          </cell>
          <cell r="N464">
            <v>3.4</v>
          </cell>
          <cell r="O464">
            <v>0.2</v>
          </cell>
          <cell r="P464">
            <v>2.2999999999999998</v>
          </cell>
          <cell r="R464">
            <v>191</v>
          </cell>
          <cell r="S464">
            <v>0</v>
          </cell>
          <cell r="T464">
            <v>6.61</v>
          </cell>
          <cell r="W464">
            <v>3.68</v>
          </cell>
          <cell r="X464">
            <v>93</v>
          </cell>
          <cell r="Y464">
            <v>0</v>
          </cell>
        </row>
        <row r="465">
          <cell r="B465" t="str">
            <v>WGB 37/47/10/4/1,5/0,5</v>
          </cell>
          <cell r="C465">
            <v>81268</v>
          </cell>
          <cell r="D465">
            <v>2014</v>
          </cell>
          <cell r="E465">
            <v>89.3</v>
          </cell>
          <cell r="F465">
            <v>137</v>
          </cell>
          <cell r="G465">
            <v>119</v>
          </cell>
          <cell r="H465">
            <v>16</v>
          </cell>
          <cell r="I465">
            <v>52</v>
          </cell>
          <cell r="J465">
            <v>90</v>
          </cell>
          <cell r="K465">
            <v>175</v>
          </cell>
          <cell r="L465">
            <v>7.2</v>
          </cell>
          <cell r="M465">
            <v>7.3</v>
          </cell>
          <cell r="N465">
            <v>6.7</v>
          </cell>
          <cell r="O465">
            <v>2.8</v>
          </cell>
          <cell r="P465">
            <v>2.4</v>
          </cell>
          <cell r="R465">
            <v>169</v>
          </cell>
          <cell r="S465">
            <v>0</v>
          </cell>
          <cell r="T465">
            <v>8.48</v>
          </cell>
          <cell r="W465">
            <v>-5.12</v>
          </cell>
          <cell r="X465">
            <v>620</v>
          </cell>
          <cell r="Y465">
            <v>0</v>
          </cell>
        </row>
        <row r="466">
          <cell r="B466" t="str">
            <v>RES</v>
          </cell>
          <cell r="C466">
            <v>81269</v>
          </cell>
          <cell r="D466">
            <v>2014</v>
          </cell>
          <cell r="E466">
            <v>88.5</v>
          </cell>
          <cell r="F466">
            <v>386</v>
          </cell>
          <cell r="G466">
            <v>163</v>
          </cell>
          <cell r="H466">
            <v>18</v>
          </cell>
          <cell r="I466">
            <v>76</v>
          </cell>
          <cell r="J466">
            <v>217</v>
          </cell>
          <cell r="K466">
            <v>320</v>
          </cell>
          <cell r="L466">
            <v>4</v>
          </cell>
          <cell r="M466">
            <v>14.8</v>
          </cell>
          <cell r="N466">
            <v>8</v>
          </cell>
          <cell r="O466">
            <v>0.5</v>
          </cell>
          <cell r="P466">
            <v>5.2</v>
          </cell>
          <cell r="R466">
            <v>253</v>
          </cell>
          <cell r="S466">
            <v>0</v>
          </cell>
          <cell r="T466">
            <v>7.27</v>
          </cell>
          <cell r="W466">
            <v>21.28</v>
          </cell>
          <cell r="X466">
            <v>200</v>
          </cell>
          <cell r="Y466">
            <v>0</v>
          </cell>
        </row>
        <row r="467">
          <cell r="B467" t="str">
            <v>Heu, 2. S.</v>
          </cell>
          <cell r="C467">
            <v>81270</v>
          </cell>
          <cell r="D467">
            <v>2013</v>
          </cell>
          <cell r="E467">
            <v>91.1</v>
          </cell>
          <cell r="F467">
            <v>182</v>
          </cell>
          <cell r="G467">
            <v>283</v>
          </cell>
          <cell r="H467">
            <v>28</v>
          </cell>
          <cell r="I467">
            <v>99</v>
          </cell>
          <cell r="J467">
            <v>289</v>
          </cell>
          <cell r="K467">
            <v>494</v>
          </cell>
          <cell r="L467">
            <v>5.7</v>
          </cell>
          <cell r="M467">
            <v>32.700000000000003</v>
          </cell>
          <cell r="N467">
            <v>4.5</v>
          </cell>
          <cell r="O467">
            <v>1.1000000000000001</v>
          </cell>
          <cell r="P467">
            <v>2</v>
          </cell>
          <cell r="R467">
            <v>156</v>
          </cell>
          <cell r="S467">
            <v>0</v>
          </cell>
          <cell r="T467">
            <v>6.45</v>
          </cell>
          <cell r="U467">
            <v>3.12</v>
          </cell>
          <cell r="W467">
            <v>4.16</v>
          </cell>
          <cell r="X467">
            <v>197</v>
          </cell>
          <cell r="Y467">
            <v>0</v>
          </cell>
        </row>
        <row r="468">
          <cell r="B468" t="str">
            <v>Stroh, Gerste</v>
          </cell>
          <cell r="C468">
            <v>81271</v>
          </cell>
          <cell r="D468">
            <v>2013</v>
          </cell>
          <cell r="E468">
            <v>87.9</v>
          </cell>
          <cell r="F468">
            <v>22</v>
          </cell>
          <cell r="G468">
            <v>454</v>
          </cell>
          <cell r="H468">
            <v>11</v>
          </cell>
          <cell r="I468">
            <v>60</v>
          </cell>
          <cell r="J468">
            <v>562</v>
          </cell>
          <cell r="K468">
            <v>829</v>
          </cell>
          <cell r="L468">
            <v>1.8</v>
          </cell>
          <cell r="M468">
            <v>18.899999999999999</v>
          </cell>
          <cell r="N468">
            <v>2.7</v>
          </cell>
          <cell r="O468">
            <v>0.5</v>
          </cell>
          <cell r="P468">
            <v>0.5</v>
          </cell>
          <cell r="R468">
            <v>70</v>
          </cell>
          <cell r="S468">
            <v>0</v>
          </cell>
          <cell r="T468">
            <v>3.74</v>
          </cell>
          <cell r="W468">
            <v>-7.68</v>
          </cell>
          <cell r="X468">
            <v>78</v>
          </cell>
          <cell r="Y468">
            <v>0</v>
          </cell>
        </row>
        <row r="469">
          <cell r="B469" t="str">
            <v>Pressschnitzel</v>
          </cell>
          <cell r="C469">
            <v>81272</v>
          </cell>
          <cell r="D469">
            <v>2013</v>
          </cell>
          <cell r="E469">
            <v>30.6</v>
          </cell>
          <cell r="F469">
            <v>86</v>
          </cell>
          <cell r="G469">
            <v>208</v>
          </cell>
          <cell r="H469">
            <v>6</v>
          </cell>
          <cell r="I469">
            <v>87</v>
          </cell>
          <cell r="J469">
            <v>233</v>
          </cell>
          <cell r="K469">
            <v>429</v>
          </cell>
          <cell r="L469">
            <v>1.3</v>
          </cell>
          <cell r="M469">
            <v>5</v>
          </cell>
          <cell r="N469">
            <v>9.9</v>
          </cell>
          <cell r="O469">
            <v>0.2</v>
          </cell>
          <cell r="P469">
            <v>1.9</v>
          </cell>
          <cell r="R469">
            <v>141</v>
          </cell>
          <cell r="S469">
            <v>0</v>
          </cell>
          <cell r="T469">
            <v>7.23</v>
          </cell>
          <cell r="V469">
            <v>10</v>
          </cell>
          <cell r="W469">
            <v>-8.8000000000000007</v>
          </cell>
          <cell r="X469">
            <v>392</v>
          </cell>
          <cell r="Y469">
            <v>0</v>
          </cell>
        </row>
        <row r="470">
          <cell r="B470" t="str">
            <v>Silo 5</v>
          </cell>
          <cell r="C470">
            <v>81287</v>
          </cell>
          <cell r="D470">
            <v>2012</v>
          </cell>
          <cell r="E470">
            <v>36</v>
          </cell>
          <cell r="F470">
            <v>82</v>
          </cell>
          <cell r="G470">
            <v>168</v>
          </cell>
          <cell r="H470">
            <v>41</v>
          </cell>
          <cell r="I470">
            <v>39</v>
          </cell>
          <cell r="J470">
            <v>176</v>
          </cell>
          <cell r="K470">
            <v>324</v>
          </cell>
          <cell r="L470">
            <v>3</v>
          </cell>
          <cell r="M470">
            <v>9.5</v>
          </cell>
          <cell r="N470">
            <v>2.1</v>
          </cell>
          <cell r="O470">
            <v>0.1</v>
          </cell>
          <cell r="P470">
            <v>1.2</v>
          </cell>
          <cell r="R470">
            <v>144</v>
          </cell>
          <cell r="S470">
            <v>0</v>
          </cell>
          <cell r="T470">
            <v>7.4</v>
          </cell>
          <cell r="U470">
            <v>1.38</v>
          </cell>
          <cell r="W470">
            <v>-9.92</v>
          </cell>
          <cell r="X470">
            <v>514</v>
          </cell>
          <cell r="Y470">
            <v>0</v>
          </cell>
        </row>
        <row r="471">
          <cell r="B471" t="str">
            <v>Silo 9</v>
          </cell>
          <cell r="C471">
            <v>81288</v>
          </cell>
          <cell r="D471">
            <v>2013</v>
          </cell>
          <cell r="E471">
            <v>35.299999999999997</v>
          </cell>
          <cell r="F471">
            <v>190</v>
          </cell>
          <cell r="G471">
            <v>268</v>
          </cell>
          <cell r="H471">
            <v>36</v>
          </cell>
          <cell r="I471">
            <v>111</v>
          </cell>
          <cell r="J471">
            <v>308</v>
          </cell>
          <cell r="K471">
            <v>474</v>
          </cell>
          <cell r="L471">
            <v>5.5</v>
          </cell>
          <cell r="M471">
            <v>30.8</v>
          </cell>
          <cell r="N471">
            <v>5.0999999999999996</v>
          </cell>
          <cell r="O471">
            <v>2.2999999999999998</v>
          </cell>
          <cell r="P471">
            <v>2</v>
          </cell>
          <cell r="R471">
            <v>140</v>
          </cell>
          <cell r="S471">
            <v>0</v>
          </cell>
          <cell r="T471">
            <v>6.05</v>
          </cell>
          <cell r="U471">
            <v>2.99</v>
          </cell>
          <cell r="W471">
            <v>8</v>
          </cell>
          <cell r="X471">
            <v>189</v>
          </cell>
          <cell r="Y471">
            <v>0</v>
          </cell>
        </row>
        <row r="472">
          <cell r="B472" t="str">
            <v>Treber</v>
          </cell>
          <cell r="C472">
            <v>81289</v>
          </cell>
          <cell r="D472">
            <v>2014</v>
          </cell>
          <cell r="E472">
            <v>23.5</v>
          </cell>
          <cell r="F472">
            <v>221</v>
          </cell>
          <cell r="G472">
            <v>188</v>
          </cell>
          <cell r="H472">
            <v>90</v>
          </cell>
          <cell r="I472">
            <v>44</v>
          </cell>
          <cell r="J472">
            <v>269</v>
          </cell>
          <cell r="K472">
            <v>581</v>
          </cell>
          <cell r="L472">
            <v>7.6</v>
          </cell>
          <cell r="M472">
            <v>1.7</v>
          </cell>
          <cell r="N472">
            <v>3.3</v>
          </cell>
          <cell r="O472">
            <v>0.3</v>
          </cell>
          <cell r="P472">
            <v>1.9</v>
          </cell>
          <cell r="R472">
            <v>195</v>
          </cell>
          <cell r="S472">
            <v>0</v>
          </cell>
          <cell r="T472">
            <v>6.74</v>
          </cell>
          <cell r="U472">
            <v>1.05</v>
          </cell>
          <cell r="W472">
            <v>4.16</v>
          </cell>
          <cell r="X472">
            <v>64</v>
          </cell>
          <cell r="Y472">
            <v>0</v>
          </cell>
        </row>
        <row r="473">
          <cell r="B473" t="str">
            <v>WGB 37/47/10/4/1,5/0,5</v>
          </cell>
          <cell r="C473">
            <v>81290</v>
          </cell>
          <cell r="D473">
            <v>2014</v>
          </cell>
          <cell r="E473">
            <v>89.7</v>
          </cell>
          <cell r="F473">
            <v>146</v>
          </cell>
          <cell r="G473">
            <v>87</v>
          </cell>
          <cell r="H473">
            <v>22</v>
          </cell>
          <cell r="I473">
            <v>58</v>
          </cell>
          <cell r="J473">
            <v>74</v>
          </cell>
          <cell r="K473">
            <v>152</v>
          </cell>
          <cell r="L473">
            <v>7.6</v>
          </cell>
          <cell r="M473">
            <v>7</v>
          </cell>
          <cell r="N473">
            <v>8.6</v>
          </cell>
          <cell r="O473">
            <v>3</v>
          </cell>
          <cell r="P473">
            <v>2.2000000000000002</v>
          </cell>
          <cell r="R473">
            <v>173</v>
          </cell>
          <cell r="S473">
            <v>0</v>
          </cell>
          <cell r="T473">
            <v>8.6</v>
          </cell>
          <cell r="W473">
            <v>-4.32</v>
          </cell>
          <cell r="X473">
            <v>622</v>
          </cell>
          <cell r="Y473">
            <v>0</v>
          </cell>
        </row>
        <row r="474">
          <cell r="B474" t="str">
            <v>RES</v>
          </cell>
          <cell r="C474">
            <v>81291</v>
          </cell>
          <cell r="D474">
            <v>2014</v>
          </cell>
          <cell r="E474">
            <v>89</v>
          </cell>
          <cell r="F474">
            <v>382</v>
          </cell>
          <cell r="G474">
            <v>165</v>
          </cell>
          <cell r="H474">
            <v>18</v>
          </cell>
          <cell r="I474">
            <v>77</v>
          </cell>
          <cell r="J474">
            <v>222</v>
          </cell>
          <cell r="K474">
            <v>304</v>
          </cell>
          <cell r="L474">
            <v>16</v>
          </cell>
          <cell r="M474">
            <v>13.9</v>
          </cell>
          <cell r="N474">
            <v>7.9</v>
          </cell>
          <cell r="O474">
            <v>0.6</v>
          </cell>
          <cell r="P474">
            <v>4.4000000000000004</v>
          </cell>
          <cell r="R474">
            <v>251</v>
          </cell>
          <cell r="S474">
            <v>0</v>
          </cell>
          <cell r="T474">
            <v>7.26</v>
          </cell>
          <cell r="W474">
            <v>20.96</v>
          </cell>
          <cell r="X474">
            <v>219</v>
          </cell>
          <cell r="Y474">
            <v>0</v>
          </cell>
        </row>
        <row r="475">
          <cell r="B475" t="str">
            <v>Heu, 2. S.</v>
          </cell>
          <cell r="C475">
            <v>81292</v>
          </cell>
          <cell r="D475">
            <v>2013</v>
          </cell>
          <cell r="E475">
            <v>91.1</v>
          </cell>
          <cell r="F475">
            <v>167</v>
          </cell>
          <cell r="G475">
            <v>292</v>
          </cell>
          <cell r="H475">
            <v>26</v>
          </cell>
          <cell r="I475">
            <v>72</v>
          </cell>
          <cell r="J475">
            <v>305</v>
          </cell>
          <cell r="K475">
            <v>496</v>
          </cell>
          <cell r="L475">
            <v>5.7</v>
          </cell>
          <cell r="M475">
            <v>17.7</v>
          </cell>
          <cell r="N475">
            <v>4.2</v>
          </cell>
          <cell r="O475">
            <v>3.4</v>
          </cell>
          <cell r="P475">
            <v>1.8</v>
          </cell>
          <cell r="R475">
            <v>151</v>
          </cell>
          <cell r="S475">
            <v>0</v>
          </cell>
          <cell r="T475">
            <v>6.31</v>
          </cell>
          <cell r="U475">
            <v>3.13</v>
          </cell>
          <cell r="W475">
            <v>2.56</v>
          </cell>
          <cell r="X475">
            <v>239</v>
          </cell>
          <cell r="Y475">
            <v>0</v>
          </cell>
        </row>
        <row r="476">
          <cell r="B476" t="str">
            <v>Stroh, Gerste</v>
          </cell>
          <cell r="C476">
            <v>81293</v>
          </cell>
          <cell r="D476">
            <v>2013</v>
          </cell>
          <cell r="E476">
            <v>91.9</v>
          </cell>
          <cell r="F476">
            <v>39</v>
          </cell>
          <cell r="G476">
            <v>434</v>
          </cell>
          <cell r="H476">
            <v>18</v>
          </cell>
          <cell r="I476">
            <v>75</v>
          </cell>
          <cell r="J476">
            <v>496</v>
          </cell>
          <cell r="K476">
            <v>762</v>
          </cell>
          <cell r="L476">
            <v>1</v>
          </cell>
          <cell r="M476">
            <v>9.5</v>
          </cell>
          <cell r="N476">
            <v>2.7</v>
          </cell>
          <cell r="O476">
            <v>0.2</v>
          </cell>
          <cell r="P476">
            <v>0.5</v>
          </cell>
          <cell r="R476">
            <v>78</v>
          </cell>
          <cell r="S476">
            <v>0</v>
          </cell>
          <cell r="T476">
            <v>3.74</v>
          </cell>
          <cell r="W476">
            <v>-6.24</v>
          </cell>
          <cell r="X476">
            <v>106</v>
          </cell>
          <cell r="Y476">
            <v>0</v>
          </cell>
        </row>
        <row r="477">
          <cell r="B477" t="str">
            <v>Pressschnitzel</v>
          </cell>
          <cell r="C477">
            <v>81294</v>
          </cell>
          <cell r="D477">
            <v>2013</v>
          </cell>
          <cell r="E477">
            <v>30.6</v>
          </cell>
          <cell r="F477">
            <v>87</v>
          </cell>
          <cell r="G477">
            <v>210</v>
          </cell>
          <cell r="H477">
            <v>5</v>
          </cell>
          <cell r="I477">
            <v>98</v>
          </cell>
          <cell r="J477">
            <v>228</v>
          </cell>
          <cell r="K477">
            <v>431</v>
          </cell>
          <cell r="L477">
            <v>1.4</v>
          </cell>
          <cell r="M477">
            <v>4</v>
          </cell>
          <cell r="N477">
            <v>9.9</v>
          </cell>
          <cell r="O477">
            <v>0.3</v>
          </cell>
          <cell r="P477">
            <v>1.5</v>
          </cell>
          <cell r="R477">
            <v>140</v>
          </cell>
          <cell r="S477">
            <v>0</v>
          </cell>
          <cell r="T477">
            <v>7.14</v>
          </cell>
          <cell r="W477">
            <v>-8.48</v>
          </cell>
          <cell r="X477">
            <v>379</v>
          </cell>
          <cell r="Y477">
            <v>0</v>
          </cell>
        </row>
        <row r="478">
          <cell r="B478" t="str">
            <v>SoBlES</v>
          </cell>
          <cell r="C478">
            <v>81295</v>
          </cell>
          <cell r="D478">
            <v>2014</v>
          </cell>
          <cell r="E478">
            <v>88.8</v>
          </cell>
          <cell r="F478">
            <v>323</v>
          </cell>
          <cell r="G478">
            <v>292</v>
          </cell>
          <cell r="H478">
            <v>48</v>
          </cell>
          <cell r="I478">
            <v>69</v>
          </cell>
          <cell r="J478">
            <v>322</v>
          </cell>
          <cell r="K478">
            <v>465</v>
          </cell>
          <cell r="L478">
            <v>1.5</v>
          </cell>
          <cell r="M478">
            <v>14.2</v>
          </cell>
          <cell r="N478">
            <v>5</v>
          </cell>
          <cell r="O478">
            <v>0.2</v>
          </cell>
          <cell r="P478">
            <v>5.4</v>
          </cell>
          <cell r="R478">
            <v>180</v>
          </cell>
          <cell r="S478">
            <v>0</v>
          </cell>
          <cell r="T478">
            <v>5.42</v>
          </cell>
          <cell r="W478">
            <v>22.88</v>
          </cell>
          <cell r="X478">
            <v>95</v>
          </cell>
          <cell r="Y478">
            <v>0</v>
          </cell>
        </row>
        <row r="479">
          <cell r="B479" t="str">
            <v>Silo 1</v>
          </cell>
          <cell r="C479">
            <v>81300</v>
          </cell>
          <cell r="D479">
            <v>2013</v>
          </cell>
          <cell r="E479">
            <v>36.700000000000003</v>
          </cell>
          <cell r="F479">
            <v>185</v>
          </cell>
          <cell r="G479">
            <v>246</v>
          </cell>
          <cell r="H479">
            <v>39</v>
          </cell>
          <cell r="I479">
            <v>123</v>
          </cell>
          <cell r="J479">
            <v>277</v>
          </cell>
          <cell r="K479">
            <v>446</v>
          </cell>
          <cell r="L479">
            <v>6</v>
          </cell>
          <cell r="M479">
            <v>21.1</v>
          </cell>
          <cell r="N479">
            <v>8.6999999999999993</v>
          </cell>
          <cell r="O479">
            <v>2.9</v>
          </cell>
          <cell r="P479">
            <v>3.3</v>
          </cell>
          <cell r="R479">
            <v>139</v>
          </cell>
          <cell r="S479">
            <v>0</v>
          </cell>
          <cell r="T479">
            <v>6.09</v>
          </cell>
          <cell r="U479">
            <v>2.83</v>
          </cell>
          <cell r="W479">
            <v>7.36</v>
          </cell>
          <cell r="X479">
            <v>207</v>
          </cell>
          <cell r="Y479">
            <v>0</v>
          </cell>
        </row>
        <row r="480">
          <cell r="B480" t="str">
            <v>Silo 09</v>
          </cell>
          <cell r="C480">
            <v>81313</v>
          </cell>
          <cell r="D480">
            <v>2014</v>
          </cell>
          <cell r="E480">
            <v>42.2</v>
          </cell>
          <cell r="F480">
            <v>163</v>
          </cell>
          <cell r="G480">
            <v>257</v>
          </cell>
          <cell r="H480">
            <v>24</v>
          </cell>
          <cell r="I480">
            <v>84</v>
          </cell>
          <cell r="J480">
            <v>280</v>
          </cell>
          <cell r="K480">
            <v>474</v>
          </cell>
          <cell r="L480">
            <v>5.5</v>
          </cell>
          <cell r="M480">
            <v>26.1</v>
          </cell>
          <cell r="N480">
            <v>5.0999999999999996</v>
          </cell>
          <cell r="O480">
            <v>2.2000000000000002</v>
          </cell>
          <cell r="P480">
            <v>1.8</v>
          </cell>
          <cell r="R480">
            <v>143</v>
          </cell>
          <cell r="S480">
            <v>0</v>
          </cell>
          <cell r="T480">
            <v>6.53</v>
          </cell>
          <cell r="U480">
            <v>2.99</v>
          </cell>
          <cell r="W480">
            <v>3.2</v>
          </cell>
          <cell r="X480">
            <v>255</v>
          </cell>
          <cell r="Y480">
            <v>0</v>
          </cell>
        </row>
        <row r="481">
          <cell r="B481" t="str">
            <v>Silo 04</v>
          </cell>
          <cell r="C481">
            <v>81314</v>
          </cell>
          <cell r="D481">
            <v>2013</v>
          </cell>
          <cell r="E481">
            <v>38</v>
          </cell>
          <cell r="F481">
            <v>161</v>
          </cell>
          <cell r="G481">
            <v>270</v>
          </cell>
          <cell r="H481">
            <v>24</v>
          </cell>
          <cell r="I481">
            <v>91</v>
          </cell>
          <cell r="J481">
            <v>283</v>
          </cell>
          <cell r="K481">
            <v>454</v>
          </cell>
          <cell r="L481">
            <v>5.2</v>
          </cell>
          <cell r="M481">
            <v>30.3</v>
          </cell>
          <cell r="N481">
            <v>5.3</v>
          </cell>
          <cell r="O481">
            <v>0.8</v>
          </cell>
          <cell r="P481">
            <v>1.9</v>
          </cell>
          <cell r="R481">
            <v>142</v>
          </cell>
          <cell r="S481">
            <v>0</v>
          </cell>
          <cell r="T481">
            <v>6.46</v>
          </cell>
          <cell r="U481">
            <v>2.88</v>
          </cell>
          <cell r="W481">
            <v>3.04</v>
          </cell>
          <cell r="X481">
            <v>270</v>
          </cell>
          <cell r="Y481">
            <v>0</v>
          </cell>
        </row>
        <row r="482">
          <cell r="B482" t="str">
            <v>Silo 02</v>
          </cell>
          <cell r="C482">
            <v>81315</v>
          </cell>
          <cell r="D482">
            <v>2014</v>
          </cell>
          <cell r="E482">
            <v>30.2</v>
          </cell>
          <cell r="F482">
            <v>136</v>
          </cell>
          <cell r="G482">
            <v>267</v>
          </cell>
          <cell r="H482">
            <v>22</v>
          </cell>
          <cell r="I482">
            <v>91</v>
          </cell>
          <cell r="J482">
            <v>292</v>
          </cell>
          <cell r="K482">
            <v>462</v>
          </cell>
          <cell r="L482">
            <v>4.8</v>
          </cell>
          <cell r="M482">
            <v>27.5</v>
          </cell>
          <cell r="N482">
            <v>4.3</v>
          </cell>
          <cell r="O482">
            <v>0.8</v>
          </cell>
          <cell r="P482">
            <v>1.5</v>
          </cell>
          <cell r="R482">
            <v>134</v>
          </cell>
          <cell r="S482">
            <v>0</v>
          </cell>
          <cell r="T482">
            <v>6.22</v>
          </cell>
          <cell r="U482">
            <v>2.92</v>
          </cell>
          <cell r="W482">
            <v>0.32</v>
          </cell>
          <cell r="X482">
            <v>289</v>
          </cell>
          <cell r="Y482">
            <v>0</v>
          </cell>
        </row>
        <row r="483">
          <cell r="B483" t="str">
            <v>Silo 5</v>
          </cell>
          <cell r="C483">
            <v>81316</v>
          </cell>
          <cell r="D483">
            <v>2012</v>
          </cell>
          <cell r="E483">
            <v>35.6</v>
          </cell>
          <cell r="F483">
            <v>76</v>
          </cell>
          <cell r="G483">
            <v>164</v>
          </cell>
          <cell r="H483">
            <v>37</v>
          </cell>
          <cell r="I483">
            <v>39</v>
          </cell>
          <cell r="J483">
            <v>174</v>
          </cell>
          <cell r="K483">
            <v>329</v>
          </cell>
          <cell r="L483">
            <v>3.1</v>
          </cell>
          <cell r="M483">
            <v>10.8</v>
          </cell>
          <cell r="N483">
            <v>2.2000000000000002</v>
          </cell>
          <cell r="O483">
            <v>0.2</v>
          </cell>
          <cell r="P483">
            <v>1.3</v>
          </cell>
          <cell r="R483">
            <v>141</v>
          </cell>
          <cell r="S483">
            <v>0</v>
          </cell>
          <cell r="T483">
            <v>7.27</v>
          </cell>
          <cell r="U483">
            <v>1.41</v>
          </cell>
          <cell r="V483">
            <v>5</v>
          </cell>
          <cell r="W483">
            <v>-10.4</v>
          </cell>
          <cell r="X483">
            <v>519</v>
          </cell>
          <cell r="Y483">
            <v>0</v>
          </cell>
        </row>
        <row r="484">
          <cell r="B484" t="str">
            <v>Silo 1</v>
          </cell>
          <cell r="C484">
            <v>81317</v>
          </cell>
          <cell r="D484">
            <v>2013</v>
          </cell>
          <cell r="E484">
            <v>36.1</v>
          </cell>
          <cell r="F484">
            <v>175</v>
          </cell>
          <cell r="G484">
            <v>250</v>
          </cell>
          <cell r="H484">
            <v>38</v>
          </cell>
          <cell r="I484">
            <v>162</v>
          </cell>
          <cell r="J484">
            <v>285</v>
          </cell>
          <cell r="K484">
            <v>418</v>
          </cell>
          <cell r="L484">
            <v>5.7</v>
          </cell>
          <cell r="M484">
            <v>21.9</v>
          </cell>
          <cell r="N484">
            <v>7.4</v>
          </cell>
          <cell r="O484">
            <v>2.4</v>
          </cell>
          <cell r="P484">
            <v>3.2</v>
          </cell>
          <cell r="R484">
            <v>130</v>
          </cell>
          <cell r="S484">
            <v>0</v>
          </cell>
          <cell r="T484">
            <v>5.61</v>
          </cell>
          <cell r="U484">
            <v>2.66</v>
          </cell>
          <cell r="V484">
            <v>76</v>
          </cell>
          <cell r="W484">
            <v>7.2</v>
          </cell>
          <cell r="X484">
            <v>207</v>
          </cell>
          <cell r="Y484">
            <v>0</v>
          </cell>
        </row>
        <row r="485">
          <cell r="B485" t="str">
            <v>Treber</v>
          </cell>
          <cell r="C485">
            <v>81318</v>
          </cell>
          <cell r="D485">
            <v>2014</v>
          </cell>
          <cell r="E485">
            <v>23.4</v>
          </cell>
          <cell r="F485">
            <v>214</v>
          </cell>
          <cell r="G485">
            <v>193</v>
          </cell>
          <cell r="H485">
            <v>69</v>
          </cell>
          <cell r="I485">
            <v>45</v>
          </cell>
          <cell r="J485">
            <v>271</v>
          </cell>
          <cell r="K485">
            <v>575</v>
          </cell>
          <cell r="L485">
            <v>8.5</v>
          </cell>
          <cell r="M485">
            <v>2.2000000000000002</v>
          </cell>
          <cell r="N485">
            <v>3.8</v>
          </cell>
          <cell r="O485">
            <v>0.2</v>
          </cell>
          <cell r="P485">
            <v>2.5</v>
          </cell>
          <cell r="R485">
            <v>190</v>
          </cell>
          <cell r="S485">
            <v>0</v>
          </cell>
          <cell r="T485">
            <v>6.53</v>
          </cell>
          <cell r="V485">
            <v>0.4</v>
          </cell>
          <cell r="W485">
            <v>3.84</v>
          </cell>
          <cell r="X485">
            <v>97</v>
          </cell>
          <cell r="Y485">
            <v>0</v>
          </cell>
        </row>
        <row r="486">
          <cell r="B486" t="str">
            <v>WGB 42/42/8/6,5/1,0/0,5</v>
          </cell>
          <cell r="C486">
            <v>81319</v>
          </cell>
          <cell r="D486">
            <v>2014</v>
          </cell>
          <cell r="E486">
            <v>88</v>
          </cell>
          <cell r="F486">
            <v>134</v>
          </cell>
          <cell r="G486">
            <v>88</v>
          </cell>
          <cell r="H486">
            <v>17</v>
          </cell>
          <cell r="I486">
            <v>96</v>
          </cell>
          <cell r="J486">
            <v>73</v>
          </cell>
          <cell r="K486">
            <v>153</v>
          </cell>
          <cell r="L486">
            <v>9.8000000000000007</v>
          </cell>
          <cell r="M486">
            <v>8.6999999999999993</v>
          </cell>
          <cell r="N486">
            <v>16.5</v>
          </cell>
          <cell r="O486">
            <v>5.9</v>
          </cell>
          <cell r="P486">
            <v>5</v>
          </cell>
          <cell r="R486">
            <v>157</v>
          </cell>
          <cell r="S486">
            <v>0</v>
          </cell>
          <cell r="T486">
            <v>7.8</v>
          </cell>
          <cell r="W486">
            <v>-3.68</v>
          </cell>
          <cell r="X486">
            <v>600</v>
          </cell>
          <cell r="Y486">
            <v>0</v>
          </cell>
        </row>
        <row r="487">
          <cell r="B487" t="str">
            <v>RES</v>
          </cell>
          <cell r="C487">
            <v>81320</v>
          </cell>
          <cell r="D487">
            <v>2014</v>
          </cell>
          <cell r="E487">
            <v>88.4</v>
          </cell>
          <cell r="F487">
            <v>384</v>
          </cell>
          <cell r="G487">
            <v>168</v>
          </cell>
          <cell r="H487">
            <v>16</v>
          </cell>
          <cell r="I487">
            <v>79</v>
          </cell>
          <cell r="J487">
            <v>246</v>
          </cell>
          <cell r="K487">
            <v>327</v>
          </cell>
          <cell r="L487">
            <v>16</v>
          </cell>
          <cell r="M487">
            <v>16</v>
          </cell>
          <cell r="N487">
            <v>8.9</v>
          </cell>
          <cell r="O487">
            <v>0.6</v>
          </cell>
          <cell r="P487">
            <v>4.8</v>
          </cell>
          <cell r="R487">
            <v>251</v>
          </cell>
          <cell r="S487">
            <v>0</v>
          </cell>
          <cell r="T487">
            <v>7.22</v>
          </cell>
          <cell r="U487">
            <v>0.36</v>
          </cell>
          <cell r="W487">
            <v>21.28</v>
          </cell>
          <cell r="X487">
            <v>194</v>
          </cell>
          <cell r="Y487">
            <v>0</v>
          </cell>
        </row>
        <row r="488">
          <cell r="B488" t="str">
            <v>gRES</v>
          </cell>
          <cell r="C488">
            <v>81321</v>
          </cell>
          <cell r="D488">
            <v>2014</v>
          </cell>
          <cell r="E488">
            <v>89.6</v>
          </cell>
          <cell r="F488">
            <v>396</v>
          </cell>
          <cell r="G488">
            <v>162</v>
          </cell>
          <cell r="H488">
            <v>20</v>
          </cell>
          <cell r="I488">
            <v>74</v>
          </cell>
          <cell r="J488">
            <v>237</v>
          </cell>
          <cell r="K488">
            <v>383</v>
          </cell>
          <cell r="L488">
            <v>17.100000000000001</v>
          </cell>
          <cell r="M488">
            <v>16</v>
          </cell>
          <cell r="N488">
            <v>7.8</v>
          </cell>
          <cell r="O488">
            <v>1</v>
          </cell>
          <cell r="P488">
            <v>5.0999999999999996</v>
          </cell>
          <cell r="R488">
            <v>358</v>
          </cell>
          <cell r="S488">
            <v>0</v>
          </cell>
          <cell r="T488">
            <v>7.31</v>
          </cell>
          <cell r="U488">
            <v>0.36</v>
          </cell>
          <cell r="W488">
            <v>6.08</v>
          </cell>
          <cell r="X488">
            <v>127</v>
          </cell>
          <cell r="Y488">
            <v>0</v>
          </cell>
        </row>
        <row r="489">
          <cell r="B489" t="str">
            <v>Stroh, Gerste</v>
          </cell>
          <cell r="C489">
            <v>81322</v>
          </cell>
          <cell r="D489">
            <v>2013</v>
          </cell>
          <cell r="E489">
            <v>91.5</v>
          </cell>
          <cell r="F489">
            <v>39</v>
          </cell>
          <cell r="G489">
            <v>446</v>
          </cell>
          <cell r="H489">
            <v>15</v>
          </cell>
          <cell r="I489">
            <v>74</v>
          </cell>
          <cell r="J489">
            <v>502</v>
          </cell>
          <cell r="K489">
            <v>759</v>
          </cell>
          <cell r="L489">
            <v>1.1000000000000001</v>
          </cell>
          <cell r="M489">
            <v>12.6</v>
          </cell>
          <cell r="N489">
            <v>3.1</v>
          </cell>
          <cell r="O489">
            <v>0.2</v>
          </cell>
          <cell r="P489">
            <v>0.5</v>
          </cell>
          <cell r="R489">
            <v>78</v>
          </cell>
          <cell r="S489">
            <v>0</v>
          </cell>
          <cell r="T489">
            <v>3.72</v>
          </cell>
          <cell r="W489">
            <v>-6.24</v>
          </cell>
          <cell r="X489">
            <v>113</v>
          </cell>
          <cell r="Y489">
            <v>0</v>
          </cell>
        </row>
        <row r="490">
          <cell r="B490" t="str">
            <v>Heu, 2. S.</v>
          </cell>
          <cell r="C490">
            <v>81323</v>
          </cell>
          <cell r="D490">
            <v>2013</v>
          </cell>
          <cell r="E490">
            <v>90</v>
          </cell>
          <cell r="F490">
            <v>200</v>
          </cell>
          <cell r="G490">
            <v>300</v>
          </cell>
          <cell r="H490">
            <v>30</v>
          </cell>
          <cell r="I490">
            <v>94</v>
          </cell>
          <cell r="J490">
            <v>309</v>
          </cell>
          <cell r="K490">
            <v>452</v>
          </cell>
          <cell r="L490">
            <v>5.3</v>
          </cell>
          <cell r="M490">
            <v>29.1</v>
          </cell>
          <cell r="N490">
            <v>5.2</v>
          </cell>
          <cell r="O490">
            <v>1.9</v>
          </cell>
          <cell r="P490">
            <v>2.2999999999999998</v>
          </cell>
          <cell r="R490">
            <v>158</v>
          </cell>
          <cell r="S490">
            <v>0</v>
          </cell>
          <cell r="T490">
            <v>6.27</v>
          </cell>
          <cell r="U490">
            <v>2.86</v>
          </cell>
          <cell r="W490">
            <v>6.72</v>
          </cell>
          <cell r="X490">
            <v>224</v>
          </cell>
          <cell r="Y490">
            <v>0</v>
          </cell>
        </row>
        <row r="491">
          <cell r="B491" t="str">
            <v>Silo 5</v>
          </cell>
          <cell r="C491">
            <v>81330</v>
          </cell>
          <cell r="D491">
            <v>2012</v>
          </cell>
          <cell r="E491">
            <v>35.6</v>
          </cell>
          <cell r="F491">
            <v>70</v>
          </cell>
          <cell r="G491">
            <v>177</v>
          </cell>
          <cell r="H491">
            <v>39</v>
          </cell>
          <cell r="I491">
            <v>36</v>
          </cell>
          <cell r="J491">
            <v>183</v>
          </cell>
          <cell r="K491">
            <v>336</v>
          </cell>
          <cell r="L491">
            <v>2.5</v>
          </cell>
          <cell r="M491">
            <v>8.6999999999999993</v>
          </cell>
          <cell r="N491">
            <v>2</v>
          </cell>
          <cell r="O491">
            <v>0.1</v>
          </cell>
          <cell r="P491">
            <v>1</v>
          </cell>
          <cell r="R491">
            <v>139</v>
          </cell>
          <cell r="S491">
            <v>0</v>
          </cell>
          <cell r="T491">
            <v>7.25</v>
          </cell>
          <cell r="U491">
            <v>1.44</v>
          </cell>
          <cell r="W491">
            <v>-11.04</v>
          </cell>
          <cell r="X491">
            <v>519</v>
          </cell>
          <cell r="Y491">
            <v>0</v>
          </cell>
        </row>
        <row r="492">
          <cell r="B492" t="str">
            <v>Silo 1</v>
          </cell>
          <cell r="C492">
            <v>81331</v>
          </cell>
          <cell r="D492">
            <v>2013</v>
          </cell>
          <cell r="E492">
            <v>36.200000000000003</v>
          </cell>
          <cell r="F492">
            <v>179</v>
          </cell>
          <cell r="G492">
            <v>268</v>
          </cell>
          <cell r="H492">
            <v>35</v>
          </cell>
          <cell r="I492">
            <v>95</v>
          </cell>
          <cell r="J492">
            <v>299</v>
          </cell>
          <cell r="K492">
            <v>448</v>
          </cell>
          <cell r="L492">
            <v>5.0999999999999996</v>
          </cell>
          <cell r="M492">
            <v>23</v>
          </cell>
          <cell r="N492">
            <v>6.6</v>
          </cell>
          <cell r="O492">
            <v>2</v>
          </cell>
          <cell r="P492">
            <v>3.2</v>
          </cell>
          <cell r="R492">
            <v>132</v>
          </cell>
          <cell r="S492">
            <v>0</v>
          </cell>
          <cell r="T492">
            <v>5.6</v>
          </cell>
          <cell r="U492">
            <v>2.84</v>
          </cell>
          <cell r="W492">
            <v>7.52</v>
          </cell>
          <cell r="X492">
            <v>243</v>
          </cell>
          <cell r="Y492">
            <v>0</v>
          </cell>
        </row>
        <row r="493">
          <cell r="B493" t="str">
            <v>Treber</v>
          </cell>
          <cell r="C493">
            <v>81332</v>
          </cell>
          <cell r="D493">
            <v>2014</v>
          </cell>
          <cell r="E493">
            <v>23.5</v>
          </cell>
          <cell r="F493">
            <v>240</v>
          </cell>
          <cell r="G493">
            <v>197</v>
          </cell>
          <cell r="H493">
            <v>89</v>
          </cell>
          <cell r="I493">
            <v>47</v>
          </cell>
          <cell r="J493">
            <v>298</v>
          </cell>
          <cell r="K493">
            <v>586</v>
          </cell>
          <cell r="L493">
            <v>9.1</v>
          </cell>
          <cell r="M493">
            <v>2.1</v>
          </cell>
          <cell r="N493">
            <v>4.3</v>
          </cell>
          <cell r="O493">
            <v>0.2</v>
          </cell>
          <cell r="P493">
            <v>1.8</v>
          </cell>
          <cell r="R493">
            <v>203</v>
          </cell>
          <cell r="S493">
            <v>0</v>
          </cell>
          <cell r="T493">
            <v>6.73</v>
          </cell>
          <cell r="U493">
            <v>1.05</v>
          </cell>
          <cell r="W493">
            <v>5.92</v>
          </cell>
          <cell r="X493">
            <v>38</v>
          </cell>
          <cell r="Y493">
            <v>0</v>
          </cell>
        </row>
        <row r="494">
          <cell r="B494" t="str">
            <v>WGB 42/42/8/6,5/1,0/0,5</v>
          </cell>
          <cell r="C494">
            <v>81333</v>
          </cell>
          <cell r="D494">
            <v>2014</v>
          </cell>
          <cell r="E494">
            <v>91</v>
          </cell>
          <cell r="F494">
            <v>121</v>
          </cell>
          <cell r="G494">
            <v>93</v>
          </cell>
          <cell r="H494">
            <v>18</v>
          </cell>
          <cell r="I494">
            <v>177</v>
          </cell>
          <cell r="J494">
            <v>119</v>
          </cell>
          <cell r="K494">
            <v>129</v>
          </cell>
          <cell r="L494">
            <v>12.7</v>
          </cell>
          <cell r="M494">
            <v>7.6</v>
          </cell>
          <cell r="N494">
            <v>30.7</v>
          </cell>
          <cell r="O494">
            <v>12</v>
          </cell>
          <cell r="P494">
            <v>8.6999999999999993</v>
          </cell>
          <cell r="R494">
            <v>135</v>
          </cell>
          <cell r="S494">
            <v>0</v>
          </cell>
          <cell r="T494">
            <v>6.51</v>
          </cell>
          <cell r="W494">
            <v>-2.2400000000000002</v>
          </cell>
          <cell r="X494">
            <v>555</v>
          </cell>
          <cell r="Y494">
            <v>0</v>
          </cell>
        </row>
        <row r="495">
          <cell r="B495" t="str">
            <v>RES</v>
          </cell>
          <cell r="C495">
            <v>81334</v>
          </cell>
          <cell r="D495">
            <v>2014</v>
          </cell>
          <cell r="E495">
            <v>88.7</v>
          </cell>
          <cell r="F495">
            <v>378</v>
          </cell>
          <cell r="G495">
            <v>167</v>
          </cell>
          <cell r="H495">
            <v>17</v>
          </cell>
          <cell r="I495">
            <v>83</v>
          </cell>
          <cell r="J495">
            <v>228</v>
          </cell>
          <cell r="K495">
            <v>338</v>
          </cell>
          <cell r="L495">
            <v>17.2</v>
          </cell>
          <cell r="M495">
            <v>15</v>
          </cell>
          <cell r="N495">
            <v>8.8000000000000007</v>
          </cell>
          <cell r="O495">
            <v>0.6</v>
          </cell>
          <cell r="P495">
            <v>4.4000000000000004</v>
          </cell>
          <cell r="R495">
            <v>325</v>
          </cell>
          <cell r="S495">
            <v>0</v>
          </cell>
          <cell r="T495">
            <v>7.2</v>
          </cell>
          <cell r="W495">
            <v>8.48</v>
          </cell>
          <cell r="X495">
            <v>184</v>
          </cell>
          <cell r="Y495">
            <v>0</v>
          </cell>
        </row>
        <row r="496">
          <cell r="B496" t="str">
            <v>gRES</v>
          </cell>
          <cell r="C496">
            <v>81335</v>
          </cell>
          <cell r="D496">
            <v>2014</v>
          </cell>
          <cell r="E496">
            <v>89.9</v>
          </cell>
          <cell r="F496">
            <v>378</v>
          </cell>
          <cell r="G496">
            <v>164</v>
          </cell>
          <cell r="H496">
            <v>20</v>
          </cell>
          <cell r="I496">
            <v>78</v>
          </cell>
          <cell r="J496">
            <v>240</v>
          </cell>
          <cell r="K496">
            <v>378</v>
          </cell>
          <cell r="L496">
            <v>17</v>
          </cell>
          <cell r="M496">
            <v>14.9</v>
          </cell>
          <cell r="N496">
            <v>7.3</v>
          </cell>
          <cell r="O496">
            <v>0.8</v>
          </cell>
          <cell r="P496">
            <v>4.7</v>
          </cell>
          <cell r="R496">
            <v>346</v>
          </cell>
          <cell r="S496">
            <v>0</v>
          </cell>
          <cell r="T496">
            <v>7.25</v>
          </cell>
          <cell r="W496">
            <v>5.12</v>
          </cell>
          <cell r="X496">
            <v>146</v>
          </cell>
          <cell r="Y496">
            <v>0</v>
          </cell>
        </row>
        <row r="497">
          <cell r="B497" t="str">
            <v>Stroh, Gerste</v>
          </cell>
          <cell r="C497">
            <v>81336</v>
          </cell>
          <cell r="D497">
            <v>2013</v>
          </cell>
          <cell r="E497">
            <v>91.8</v>
          </cell>
          <cell r="F497">
            <v>30</v>
          </cell>
          <cell r="G497">
            <v>448</v>
          </cell>
          <cell r="H497">
            <v>12</v>
          </cell>
          <cell r="I497">
            <v>61</v>
          </cell>
          <cell r="J497">
            <v>495</v>
          </cell>
          <cell r="K497">
            <v>800</v>
          </cell>
          <cell r="L497">
            <v>0.8</v>
          </cell>
          <cell r="M497">
            <v>11.4</v>
          </cell>
          <cell r="N497">
            <v>2.5</v>
          </cell>
          <cell r="O497">
            <v>0.1</v>
          </cell>
          <cell r="P497">
            <v>0.4</v>
          </cell>
          <cell r="R497">
            <v>74</v>
          </cell>
          <cell r="S497">
            <v>0</v>
          </cell>
          <cell r="T497">
            <v>3.75</v>
          </cell>
          <cell r="U497">
            <v>4.3</v>
          </cell>
          <cell r="W497">
            <v>-7.04</v>
          </cell>
          <cell r="X497">
            <v>97</v>
          </cell>
          <cell r="Y497">
            <v>0</v>
          </cell>
        </row>
        <row r="498">
          <cell r="B498" t="str">
            <v>Heu, 2. S.</v>
          </cell>
          <cell r="C498">
            <v>81337</v>
          </cell>
          <cell r="D498">
            <v>2013</v>
          </cell>
          <cell r="E498">
            <v>90.4</v>
          </cell>
          <cell r="F498">
            <v>186</v>
          </cell>
          <cell r="G498">
            <v>288</v>
          </cell>
          <cell r="H498">
            <v>22</v>
          </cell>
          <cell r="I498">
            <v>88</v>
          </cell>
          <cell r="J498">
            <v>290</v>
          </cell>
          <cell r="K498">
            <v>454</v>
          </cell>
          <cell r="L498">
            <v>5.5</v>
          </cell>
          <cell r="M498">
            <v>26.1</v>
          </cell>
          <cell r="N498">
            <v>5.5</v>
          </cell>
          <cell r="O498">
            <v>1.4</v>
          </cell>
          <cell r="P498">
            <v>2.2000000000000002</v>
          </cell>
          <cell r="R498">
            <v>154</v>
          </cell>
          <cell r="S498">
            <v>0</v>
          </cell>
          <cell r="T498">
            <v>6.22</v>
          </cell>
          <cell r="U498">
            <v>2.87</v>
          </cell>
          <cell r="W498">
            <v>5.12</v>
          </cell>
          <cell r="X498">
            <v>250</v>
          </cell>
          <cell r="Y498">
            <v>0</v>
          </cell>
        </row>
        <row r="499">
          <cell r="B499" t="str">
            <v>Silo 02</v>
          </cell>
          <cell r="C499">
            <v>81340</v>
          </cell>
          <cell r="D499">
            <v>2014</v>
          </cell>
          <cell r="F499">
            <v>141</v>
          </cell>
          <cell r="G499">
            <v>270</v>
          </cell>
          <cell r="H499">
            <v>24</v>
          </cell>
          <cell r="I499">
            <v>97</v>
          </cell>
          <cell r="J499">
            <v>292</v>
          </cell>
          <cell r="K499">
            <v>464</v>
          </cell>
          <cell r="L499">
            <v>5.4</v>
          </cell>
          <cell r="M499">
            <v>26.5</v>
          </cell>
          <cell r="N499">
            <v>5.5</v>
          </cell>
          <cell r="O499">
            <v>1.6</v>
          </cell>
          <cell r="P499">
            <v>1.8</v>
          </cell>
          <cell r="R499">
            <v>136</v>
          </cell>
          <cell r="S499">
            <v>0</v>
          </cell>
          <cell r="T499">
            <v>6.25</v>
          </cell>
          <cell r="U499">
            <v>2.93</v>
          </cell>
          <cell r="W499">
            <v>0.8</v>
          </cell>
          <cell r="X499">
            <v>274</v>
          </cell>
          <cell r="Y499">
            <v>0</v>
          </cell>
        </row>
        <row r="500">
          <cell r="B500" t="str">
            <v>Silo 7</v>
          </cell>
          <cell r="C500">
            <v>81343</v>
          </cell>
          <cell r="D500">
            <v>2013</v>
          </cell>
          <cell r="E500">
            <v>35.6</v>
          </cell>
          <cell r="F500">
            <v>78</v>
          </cell>
          <cell r="G500">
            <v>178</v>
          </cell>
          <cell r="H500">
            <v>42</v>
          </cell>
          <cell r="I500">
            <v>40</v>
          </cell>
          <cell r="J500">
            <v>198</v>
          </cell>
          <cell r="K500">
            <v>312</v>
          </cell>
          <cell r="L500">
            <v>2.7</v>
          </cell>
          <cell r="M500">
            <v>10.1</v>
          </cell>
          <cell r="N500">
            <v>2.9</v>
          </cell>
          <cell r="O500">
            <v>0.5</v>
          </cell>
          <cell r="P500">
            <v>1.3</v>
          </cell>
          <cell r="R500">
            <v>143</v>
          </cell>
          <cell r="S500">
            <v>0</v>
          </cell>
          <cell r="T500">
            <v>7.44</v>
          </cell>
          <cell r="U500">
            <v>1.3</v>
          </cell>
          <cell r="W500">
            <v>-10.4</v>
          </cell>
          <cell r="X500">
            <v>528</v>
          </cell>
          <cell r="Y500">
            <v>0</v>
          </cell>
        </row>
        <row r="501">
          <cell r="B501" t="str">
            <v>Silo 1</v>
          </cell>
          <cell r="C501">
            <v>81344</v>
          </cell>
          <cell r="D501">
            <v>2013</v>
          </cell>
          <cell r="E501">
            <v>36.1</v>
          </cell>
          <cell r="F501">
            <v>197</v>
          </cell>
          <cell r="G501">
            <v>265</v>
          </cell>
          <cell r="H501">
            <v>45</v>
          </cell>
          <cell r="I501">
            <v>108</v>
          </cell>
          <cell r="J501">
            <v>312</v>
          </cell>
          <cell r="K501">
            <v>442</v>
          </cell>
          <cell r="L501">
            <v>5.5</v>
          </cell>
          <cell r="M501">
            <v>23.4</v>
          </cell>
          <cell r="N501">
            <v>7.2</v>
          </cell>
          <cell r="O501">
            <v>1.6</v>
          </cell>
          <cell r="P501">
            <v>3</v>
          </cell>
          <cell r="R501">
            <v>136</v>
          </cell>
          <cell r="S501">
            <v>0</v>
          </cell>
          <cell r="T501">
            <v>5.76</v>
          </cell>
          <cell r="U501">
            <v>2.8</v>
          </cell>
          <cell r="W501">
            <v>9.76</v>
          </cell>
          <cell r="X501">
            <v>208</v>
          </cell>
          <cell r="Y501">
            <v>0</v>
          </cell>
        </row>
        <row r="502">
          <cell r="B502" t="str">
            <v>Treber</v>
          </cell>
          <cell r="C502">
            <v>81345</v>
          </cell>
          <cell r="D502">
            <v>2014</v>
          </cell>
          <cell r="E502">
            <v>23.5</v>
          </cell>
          <cell r="F502">
            <v>245</v>
          </cell>
          <cell r="G502">
            <v>192</v>
          </cell>
          <cell r="H502">
            <v>86</v>
          </cell>
          <cell r="I502">
            <v>48</v>
          </cell>
          <cell r="J502">
            <v>291</v>
          </cell>
          <cell r="K502">
            <v>581</v>
          </cell>
          <cell r="L502">
            <v>9.6999999999999993</v>
          </cell>
          <cell r="M502">
            <v>1.6</v>
          </cell>
          <cell r="N502">
            <v>4.7</v>
          </cell>
          <cell r="O502">
            <v>0.2</v>
          </cell>
          <cell r="P502">
            <v>2.2000000000000002</v>
          </cell>
          <cell r="R502">
            <v>205</v>
          </cell>
          <cell r="S502">
            <v>0</v>
          </cell>
          <cell r="T502">
            <v>6.7</v>
          </cell>
          <cell r="W502">
            <v>6.4</v>
          </cell>
          <cell r="X502">
            <v>40</v>
          </cell>
          <cell r="Y502">
            <v>0</v>
          </cell>
        </row>
        <row r="503">
          <cell r="B503" t="str">
            <v>WGB 42/42/8/6,5/1,0/0,5</v>
          </cell>
          <cell r="C503">
            <v>81346</v>
          </cell>
          <cell r="D503">
            <v>2014</v>
          </cell>
          <cell r="E503">
            <v>91</v>
          </cell>
          <cell r="F503">
            <v>127</v>
          </cell>
          <cell r="G503">
            <v>91</v>
          </cell>
          <cell r="H503">
            <v>19</v>
          </cell>
          <cell r="I503">
            <v>126</v>
          </cell>
          <cell r="J503">
            <v>116</v>
          </cell>
          <cell r="K503">
            <v>143</v>
          </cell>
          <cell r="L503">
            <v>10.1</v>
          </cell>
          <cell r="M503">
            <v>6.8</v>
          </cell>
          <cell r="N503">
            <v>19</v>
          </cell>
          <cell r="O503">
            <v>8.8000000000000007</v>
          </cell>
          <cell r="P503">
            <v>6.5</v>
          </cell>
          <cell r="R503">
            <v>148</v>
          </cell>
          <cell r="S503">
            <v>0</v>
          </cell>
          <cell r="T503">
            <v>7.26</v>
          </cell>
          <cell r="W503">
            <v>-3.36</v>
          </cell>
          <cell r="X503">
            <v>585</v>
          </cell>
          <cell r="Y503">
            <v>0</v>
          </cell>
        </row>
        <row r="504">
          <cell r="B504" t="str">
            <v>RES</v>
          </cell>
          <cell r="C504">
            <v>81347</v>
          </cell>
          <cell r="D504">
            <v>2014</v>
          </cell>
          <cell r="E504">
            <v>88.6</v>
          </cell>
          <cell r="F504">
            <v>380</v>
          </cell>
          <cell r="G504">
            <v>162</v>
          </cell>
          <cell r="H504">
            <v>21</v>
          </cell>
          <cell r="I504">
            <v>78</v>
          </cell>
          <cell r="J504">
            <v>235</v>
          </cell>
          <cell r="K504">
            <v>326</v>
          </cell>
          <cell r="L504">
            <v>16.3</v>
          </cell>
          <cell r="M504">
            <v>13.3</v>
          </cell>
          <cell r="N504">
            <v>7.3</v>
          </cell>
          <cell r="O504">
            <v>0.6</v>
          </cell>
          <cell r="P504">
            <v>5.6</v>
          </cell>
          <cell r="R504">
            <v>251</v>
          </cell>
          <cell r="S504">
            <v>0</v>
          </cell>
          <cell r="T504">
            <v>7.26</v>
          </cell>
          <cell r="W504">
            <v>20.64</v>
          </cell>
          <cell r="X504">
            <v>195</v>
          </cell>
          <cell r="Y504">
            <v>0</v>
          </cell>
        </row>
        <row r="505">
          <cell r="B505" t="str">
            <v>gRES</v>
          </cell>
          <cell r="C505">
            <v>81348</v>
          </cell>
          <cell r="D505">
            <v>2014</v>
          </cell>
          <cell r="E505">
            <v>89.7</v>
          </cell>
          <cell r="F505">
            <v>385</v>
          </cell>
          <cell r="G505">
            <v>156</v>
          </cell>
          <cell r="H505">
            <v>22</v>
          </cell>
          <cell r="I505">
            <v>76</v>
          </cell>
          <cell r="J505">
            <v>249</v>
          </cell>
          <cell r="K505">
            <v>365</v>
          </cell>
          <cell r="L505">
            <v>16.3</v>
          </cell>
          <cell r="M505">
            <v>13.4</v>
          </cell>
          <cell r="N505">
            <v>7.4</v>
          </cell>
          <cell r="O505">
            <v>0.9</v>
          </cell>
          <cell r="P505">
            <v>5.0999999999999996</v>
          </cell>
          <cell r="R505">
            <v>332</v>
          </cell>
          <cell r="S505">
            <v>0</v>
          </cell>
          <cell r="T505">
            <v>7.3</v>
          </cell>
          <cell r="W505">
            <v>8.48</v>
          </cell>
          <cell r="X505">
            <v>152</v>
          </cell>
          <cell r="Y505">
            <v>0</v>
          </cell>
        </row>
        <row r="506">
          <cell r="B506" t="str">
            <v>Stroh, Gerste</v>
          </cell>
          <cell r="C506">
            <v>81349</v>
          </cell>
          <cell r="D506">
            <v>2013</v>
          </cell>
          <cell r="E506">
            <v>92</v>
          </cell>
          <cell r="F506">
            <v>36</v>
          </cell>
          <cell r="G506">
            <v>455</v>
          </cell>
          <cell r="H506">
            <v>12</v>
          </cell>
          <cell r="I506">
            <v>67</v>
          </cell>
          <cell r="J506">
            <v>505</v>
          </cell>
          <cell r="K506">
            <v>798</v>
          </cell>
          <cell r="L506">
            <v>0.9</v>
          </cell>
          <cell r="M506">
            <v>9.6</v>
          </cell>
          <cell r="N506">
            <v>2.8</v>
          </cell>
          <cell r="O506">
            <v>0.1</v>
          </cell>
          <cell r="P506">
            <v>0.5</v>
          </cell>
          <cell r="R506">
            <v>76</v>
          </cell>
          <cell r="S506">
            <v>0</v>
          </cell>
          <cell r="T506">
            <v>3.73</v>
          </cell>
          <cell r="W506">
            <v>-6.4</v>
          </cell>
          <cell r="X506">
            <v>87</v>
          </cell>
          <cell r="Y506">
            <v>0</v>
          </cell>
        </row>
        <row r="507">
          <cell r="B507" t="str">
            <v>Heu, 2. S.</v>
          </cell>
          <cell r="C507">
            <v>81350</v>
          </cell>
          <cell r="D507">
            <v>2013</v>
          </cell>
          <cell r="E507">
            <v>91.1</v>
          </cell>
          <cell r="F507">
            <v>178</v>
          </cell>
          <cell r="G507">
            <v>287</v>
          </cell>
          <cell r="H507">
            <v>24</v>
          </cell>
          <cell r="I507">
            <v>65</v>
          </cell>
          <cell r="J507">
            <v>294</v>
          </cell>
          <cell r="K507">
            <v>500</v>
          </cell>
          <cell r="L507">
            <v>5.6</v>
          </cell>
          <cell r="M507">
            <v>14.8</v>
          </cell>
          <cell r="N507">
            <v>5</v>
          </cell>
          <cell r="O507">
            <v>3.4</v>
          </cell>
          <cell r="P507">
            <v>2.2999999999999998</v>
          </cell>
          <cell r="R507">
            <v>154</v>
          </cell>
          <cell r="S507">
            <v>0</v>
          </cell>
          <cell r="T507">
            <v>6.35</v>
          </cell>
          <cell r="U507">
            <v>3.15</v>
          </cell>
          <cell r="W507">
            <v>3.84</v>
          </cell>
          <cell r="X507">
            <v>233</v>
          </cell>
          <cell r="Y507">
            <v>0</v>
          </cell>
        </row>
        <row r="508">
          <cell r="B508" t="str">
            <v>Silo 07</v>
          </cell>
          <cell r="C508">
            <v>81355</v>
          </cell>
          <cell r="D508" t="str">
            <v>2013</v>
          </cell>
          <cell r="E508">
            <v>34.799999999999997</v>
          </cell>
          <cell r="F508">
            <v>74</v>
          </cell>
          <cell r="G508">
            <v>178</v>
          </cell>
          <cell r="H508">
            <v>41</v>
          </cell>
          <cell r="I508">
            <v>36</v>
          </cell>
          <cell r="J508">
            <v>194</v>
          </cell>
          <cell r="K508">
            <v>339</v>
          </cell>
          <cell r="L508">
            <v>2.4</v>
          </cell>
          <cell r="M508">
            <v>8.3000000000000007</v>
          </cell>
          <cell r="N508">
            <v>2.5</v>
          </cell>
          <cell r="O508">
            <v>0.2</v>
          </cell>
          <cell r="P508">
            <v>1</v>
          </cell>
          <cell r="Q508">
            <v>0.25</v>
          </cell>
          <cell r="R508">
            <v>140</v>
          </cell>
          <cell r="S508">
            <v>11.83</v>
          </cell>
          <cell r="T508">
            <v>7.27</v>
          </cell>
          <cell r="U508">
            <v>1.46</v>
          </cell>
          <cell r="W508">
            <v>-10.56</v>
          </cell>
          <cell r="X508">
            <v>510</v>
          </cell>
          <cell r="Y508">
            <v>0</v>
          </cell>
        </row>
        <row r="509">
          <cell r="B509" t="str">
            <v>Silo 1</v>
          </cell>
          <cell r="C509">
            <v>81356</v>
          </cell>
          <cell r="D509">
            <v>2013</v>
          </cell>
          <cell r="E509">
            <v>36.200000000000003</v>
          </cell>
          <cell r="F509">
            <v>197</v>
          </cell>
          <cell r="G509">
            <v>262</v>
          </cell>
          <cell r="H509">
            <v>47</v>
          </cell>
          <cell r="I509">
            <v>92</v>
          </cell>
          <cell r="J509">
            <v>302</v>
          </cell>
          <cell r="K509">
            <v>456</v>
          </cell>
          <cell r="L509">
            <v>5.6</v>
          </cell>
          <cell r="M509">
            <v>22.8</v>
          </cell>
          <cell r="N509">
            <v>6.5</v>
          </cell>
          <cell r="O509">
            <v>2.1</v>
          </cell>
          <cell r="P509">
            <v>3.5</v>
          </cell>
          <cell r="R509">
            <v>140</v>
          </cell>
          <cell r="S509">
            <v>0</v>
          </cell>
          <cell r="T509">
            <v>5.96</v>
          </cell>
          <cell r="U509">
            <v>2.89</v>
          </cell>
          <cell r="W509">
            <v>9.1199999999999992</v>
          </cell>
          <cell r="X509">
            <v>208</v>
          </cell>
          <cell r="Y509">
            <v>0</v>
          </cell>
        </row>
        <row r="510">
          <cell r="B510" t="str">
            <v>Treber</v>
          </cell>
          <cell r="C510">
            <v>81357</v>
          </cell>
          <cell r="D510">
            <v>2014</v>
          </cell>
          <cell r="E510">
            <v>23.2</v>
          </cell>
          <cell r="F510">
            <v>246</v>
          </cell>
          <cell r="G510">
            <v>199</v>
          </cell>
          <cell r="H510">
            <v>95</v>
          </cell>
          <cell r="I510">
            <v>43</v>
          </cell>
          <cell r="J510">
            <v>293</v>
          </cell>
          <cell r="K510">
            <v>583</v>
          </cell>
          <cell r="L510">
            <v>8.1999999999999993</v>
          </cell>
          <cell r="M510">
            <v>1.8</v>
          </cell>
          <cell r="N510">
            <v>4.3</v>
          </cell>
          <cell r="O510">
            <v>0.2</v>
          </cell>
          <cell r="P510">
            <v>1.7</v>
          </cell>
          <cell r="R510">
            <v>207</v>
          </cell>
          <cell r="S510">
            <v>0</v>
          </cell>
          <cell r="T510">
            <v>6.82</v>
          </cell>
          <cell r="W510">
            <v>6.24</v>
          </cell>
          <cell r="X510">
            <v>33</v>
          </cell>
          <cell r="Y510">
            <v>0</v>
          </cell>
        </row>
        <row r="511">
          <cell r="B511" t="str">
            <v>WGB 42/42/8/6,5/1,0/0,5</v>
          </cell>
          <cell r="C511">
            <v>81358</v>
          </cell>
          <cell r="D511">
            <v>2014</v>
          </cell>
          <cell r="E511">
            <v>90.8</v>
          </cell>
          <cell r="F511">
            <v>124</v>
          </cell>
          <cell r="G511">
            <v>93</v>
          </cell>
          <cell r="H511">
            <v>19</v>
          </cell>
          <cell r="I511">
            <v>166</v>
          </cell>
          <cell r="J511">
            <v>114</v>
          </cell>
          <cell r="K511">
            <v>141</v>
          </cell>
          <cell r="L511">
            <v>11.6</v>
          </cell>
          <cell r="M511">
            <v>7.6</v>
          </cell>
          <cell r="N511">
            <v>20.399999999999999</v>
          </cell>
          <cell r="O511">
            <v>14.8</v>
          </cell>
          <cell r="P511">
            <v>8.9</v>
          </cell>
          <cell r="R511">
            <v>139</v>
          </cell>
          <cell r="S511">
            <v>0</v>
          </cell>
          <cell r="T511">
            <v>6.7</v>
          </cell>
          <cell r="W511">
            <v>-2.4</v>
          </cell>
          <cell r="X511">
            <v>550</v>
          </cell>
          <cell r="Y511">
            <v>0</v>
          </cell>
        </row>
        <row r="512">
          <cell r="B512" t="str">
            <v>RES</v>
          </cell>
          <cell r="C512">
            <v>81359</v>
          </cell>
          <cell r="D512">
            <v>2014</v>
          </cell>
          <cell r="E512">
            <v>88.5</v>
          </cell>
          <cell r="F512">
            <v>387</v>
          </cell>
          <cell r="G512">
            <v>144</v>
          </cell>
          <cell r="H512">
            <v>20</v>
          </cell>
          <cell r="I512">
            <v>82</v>
          </cell>
          <cell r="J512">
            <v>234</v>
          </cell>
          <cell r="K512">
            <v>321</v>
          </cell>
          <cell r="L512">
            <v>15.9</v>
          </cell>
          <cell r="M512">
            <v>14.2</v>
          </cell>
          <cell r="N512">
            <v>7.1</v>
          </cell>
          <cell r="O512">
            <v>0.6</v>
          </cell>
          <cell r="P512">
            <v>5</v>
          </cell>
          <cell r="R512">
            <v>253</v>
          </cell>
          <cell r="S512">
            <v>0</v>
          </cell>
          <cell r="T512">
            <v>7.25</v>
          </cell>
          <cell r="W512">
            <v>21.44</v>
          </cell>
          <cell r="X512">
            <v>190</v>
          </cell>
          <cell r="Y512">
            <v>0</v>
          </cell>
        </row>
        <row r="513">
          <cell r="B513" t="str">
            <v>gRES</v>
          </cell>
          <cell r="C513">
            <v>81360</v>
          </cell>
          <cell r="D513">
            <v>2014</v>
          </cell>
          <cell r="E513">
            <v>89.8</v>
          </cell>
          <cell r="F513">
            <v>386</v>
          </cell>
          <cell r="G513">
            <v>152</v>
          </cell>
          <cell r="H513">
            <v>20</v>
          </cell>
          <cell r="I513">
            <v>77</v>
          </cell>
          <cell r="J513">
            <v>241</v>
          </cell>
          <cell r="K513">
            <v>364</v>
          </cell>
          <cell r="L513">
            <v>17</v>
          </cell>
          <cell r="M513">
            <v>15</v>
          </cell>
          <cell r="N513">
            <v>7.9</v>
          </cell>
          <cell r="O513">
            <v>0.8</v>
          </cell>
          <cell r="P513">
            <v>5</v>
          </cell>
          <cell r="R513">
            <v>332</v>
          </cell>
          <cell r="S513">
            <v>0</v>
          </cell>
          <cell r="T513">
            <v>7.28</v>
          </cell>
          <cell r="W513">
            <v>8.64</v>
          </cell>
          <cell r="X513">
            <v>153</v>
          </cell>
          <cell r="Y513">
            <v>0</v>
          </cell>
        </row>
        <row r="514">
          <cell r="B514" t="str">
            <v>Stroh, Weizen</v>
          </cell>
          <cell r="C514">
            <v>81361</v>
          </cell>
          <cell r="D514">
            <v>2013</v>
          </cell>
          <cell r="E514">
            <v>92.1</v>
          </cell>
          <cell r="F514">
            <v>33</v>
          </cell>
          <cell r="G514">
            <v>453</v>
          </cell>
          <cell r="H514">
            <v>12</v>
          </cell>
          <cell r="I514">
            <v>76</v>
          </cell>
          <cell r="J514">
            <v>498</v>
          </cell>
          <cell r="K514">
            <v>803</v>
          </cell>
          <cell r="L514">
            <v>1</v>
          </cell>
          <cell r="M514">
            <v>11.2</v>
          </cell>
          <cell r="N514">
            <v>2.8</v>
          </cell>
          <cell r="O514">
            <v>0.2</v>
          </cell>
          <cell r="P514">
            <v>0.5</v>
          </cell>
          <cell r="Q514">
            <v>0.45</v>
          </cell>
          <cell r="R514">
            <v>71</v>
          </cell>
          <cell r="S514">
            <v>6.27</v>
          </cell>
          <cell r="T514">
            <v>6.27</v>
          </cell>
          <cell r="W514">
            <v>-6.08</v>
          </cell>
          <cell r="X514">
            <v>76</v>
          </cell>
          <cell r="Y514">
            <v>0</v>
          </cell>
        </row>
        <row r="515">
          <cell r="B515" t="str">
            <v>Heu, 2. S.</v>
          </cell>
          <cell r="C515">
            <v>81362</v>
          </cell>
          <cell r="D515">
            <v>2013</v>
          </cell>
          <cell r="E515">
            <v>91</v>
          </cell>
          <cell r="F515">
            <v>169</v>
          </cell>
          <cell r="G515">
            <v>277</v>
          </cell>
          <cell r="H515">
            <v>25</v>
          </cell>
          <cell r="I515">
            <v>77</v>
          </cell>
          <cell r="J515">
            <v>310</v>
          </cell>
          <cell r="K515">
            <v>512</v>
          </cell>
          <cell r="L515">
            <v>5.9</v>
          </cell>
          <cell r="M515">
            <v>21.6</v>
          </cell>
          <cell r="N515">
            <v>5.5</v>
          </cell>
          <cell r="O515">
            <v>2.7</v>
          </cell>
          <cell r="P515">
            <v>1.9</v>
          </cell>
          <cell r="R515">
            <v>150</v>
          </cell>
          <cell r="S515">
            <v>0</v>
          </cell>
          <cell r="T515">
            <v>6.21</v>
          </cell>
          <cell r="W515">
            <v>3.04</v>
          </cell>
          <cell r="X515">
            <v>217</v>
          </cell>
          <cell r="Y515">
            <v>0</v>
          </cell>
        </row>
        <row r="516">
          <cell r="B516" t="str">
            <v>Silo 07</v>
          </cell>
          <cell r="C516">
            <v>81370</v>
          </cell>
          <cell r="D516" t="str">
            <v>2013</v>
          </cell>
          <cell r="E516">
            <v>35.700000000000003</v>
          </cell>
          <cell r="F516">
            <v>74</v>
          </cell>
          <cell r="G516">
            <v>183</v>
          </cell>
          <cell r="H516">
            <v>44</v>
          </cell>
          <cell r="I516">
            <v>35</v>
          </cell>
          <cell r="J516">
            <v>177</v>
          </cell>
          <cell r="K516">
            <v>334</v>
          </cell>
          <cell r="L516">
            <v>2.7</v>
          </cell>
          <cell r="M516">
            <v>8.6999999999999993</v>
          </cell>
          <cell r="N516">
            <v>2.5</v>
          </cell>
          <cell r="O516">
            <v>0.3</v>
          </cell>
          <cell r="P516">
            <v>1.2</v>
          </cell>
          <cell r="Q516">
            <v>0.25</v>
          </cell>
          <cell r="R516">
            <v>143</v>
          </cell>
          <cell r="S516">
            <v>12.16</v>
          </cell>
          <cell r="T516">
            <v>7.53</v>
          </cell>
          <cell r="U516">
            <v>1.44</v>
          </cell>
          <cell r="W516">
            <v>-11.04</v>
          </cell>
          <cell r="X516">
            <v>513</v>
          </cell>
          <cell r="Y516">
            <v>0</v>
          </cell>
        </row>
        <row r="517">
          <cell r="B517" t="str">
            <v>Silo 04</v>
          </cell>
          <cell r="C517">
            <v>81371</v>
          </cell>
          <cell r="D517">
            <v>2013</v>
          </cell>
          <cell r="E517">
            <v>35.799999999999997</v>
          </cell>
          <cell r="F517">
            <v>166</v>
          </cell>
          <cell r="G517">
            <v>275</v>
          </cell>
          <cell r="H517">
            <v>37</v>
          </cell>
          <cell r="I517">
            <v>103</v>
          </cell>
          <cell r="J517">
            <v>312</v>
          </cell>
          <cell r="K517">
            <v>458</v>
          </cell>
          <cell r="L517">
            <v>5.7</v>
          </cell>
          <cell r="M517">
            <v>28.1</v>
          </cell>
          <cell r="N517">
            <v>7.5</v>
          </cell>
          <cell r="O517">
            <v>2.7</v>
          </cell>
          <cell r="P517">
            <v>2.4</v>
          </cell>
          <cell r="R517">
            <v>133</v>
          </cell>
          <cell r="S517">
            <v>0</v>
          </cell>
          <cell r="T517">
            <v>5.83</v>
          </cell>
          <cell r="U517">
            <v>2.9</v>
          </cell>
          <cell r="W517">
            <v>5.28</v>
          </cell>
          <cell r="X517">
            <v>236</v>
          </cell>
          <cell r="Y517">
            <v>0</v>
          </cell>
        </row>
        <row r="518">
          <cell r="B518" t="str">
            <v>Treber</v>
          </cell>
          <cell r="C518">
            <v>81372</v>
          </cell>
          <cell r="D518">
            <v>2014</v>
          </cell>
          <cell r="E518">
            <v>23.8</v>
          </cell>
          <cell r="F518">
            <v>227</v>
          </cell>
          <cell r="G518">
            <v>196</v>
          </cell>
          <cell r="H518">
            <v>94</v>
          </cell>
          <cell r="I518">
            <v>42</v>
          </cell>
          <cell r="J518">
            <v>292</v>
          </cell>
          <cell r="K518">
            <v>583</v>
          </cell>
          <cell r="L518">
            <v>7.8</v>
          </cell>
          <cell r="M518">
            <v>2.1</v>
          </cell>
          <cell r="N518">
            <v>4.0999999999999996</v>
          </cell>
          <cell r="O518">
            <v>0.5</v>
          </cell>
          <cell r="P518">
            <v>1.7</v>
          </cell>
          <cell r="R518">
            <v>199</v>
          </cell>
          <cell r="S518">
            <v>0</v>
          </cell>
          <cell r="T518">
            <v>6.79</v>
          </cell>
          <cell r="W518">
            <v>4.4800000000000004</v>
          </cell>
          <cell r="X518">
            <v>54</v>
          </cell>
          <cell r="Y518">
            <v>0</v>
          </cell>
        </row>
        <row r="519">
          <cell r="B519" t="str">
            <v>WGB 42/42/8/6,5/1,0/0,5</v>
          </cell>
          <cell r="C519">
            <v>81373</v>
          </cell>
          <cell r="D519">
            <v>2014</v>
          </cell>
          <cell r="E519">
            <v>90.9</v>
          </cell>
          <cell r="F519">
            <v>131</v>
          </cell>
          <cell r="G519">
            <v>104</v>
          </cell>
          <cell r="H519">
            <v>20</v>
          </cell>
          <cell r="I519">
            <v>102</v>
          </cell>
          <cell r="J519">
            <v>117</v>
          </cell>
          <cell r="K519">
            <v>142</v>
          </cell>
          <cell r="L519">
            <v>8.8000000000000007</v>
          </cell>
          <cell r="M519">
            <v>7.9</v>
          </cell>
          <cell r="N519">
            <v>20.7</v>
          </cell>
          <cell r="O519">
            <v>5.4</v>
          </cell>
          <cell r="P519">
            <v>5.2</v>
          </cell>
          <cell r="R519">
            <v>157</v>
          </cell>
          <cell r="S519">
            <v>0</v>
          </cell>
          <cell r="T519">
            <v>7.86</v>
          </cell>
          <cell r="W519">
            <v>-4.16</v>
          </cell>
          <cell r="X519">
            <v>605</v>
          </cell>
          <cell r="Y519">
            <v>0</v>
          </cell>
        </row>
        <row r="520">
          <cell r="B520" t="str">
            <v>RES</v>
          </cell>
          <cell r="C520">
            <v>81374</v>
          </cell>
          <cell r="D520">
            <v>2014</v>
          </cell>
          <cell r="E520">
            <v>88.8</v>
          </cell>
          <cell r="F520">
            <v>383</v>
          </cell>
          <cell r="G520">
            <v>144</v>
          </cell>
          <cell r="H520">
            <v>23</v>
          </cell>
          <cell r="I520">
            <v>80</v>
          </cell>
          <cell r="J520">
            <v>239</v>
          </cell>
          <cell r="K520">
            <v>319</v>
          </cell>
          <cell r="L520">
            <v>17.2</v>
          </cell>
          <cell r="M520">
            <v>15.4</v>
          </cell>
          <cell r="N520">
            <v>9.1</v>
          </cell>
          <cell r="O520">
            <v>0.6</v>
          </cell>
          <cell r="P520">
            <v>5.2</v>
          </cell>
          <cell r="R520">
            <v>252</v>
          </cell>
          <cell r="S520">
            <v>0</v>
          </cell>
          <cell r="T520">
            <v>7.28</v>
          </cell>
          <cell r="W520">
            <v>20.96</v>
          </cell>
          <cell r="X520">
            <v>195</v>
          </cell>
          <cell r="Y520">
            <v>0</v>
          </cell>
        </row>
        <row r="521">
          <cell r="B521" t="str">
            <v>gRES</v>
          </cell>
          <cell r="C521">
            <v>81375</v>
          </cell>
          <cell r="D521">
            <v>2014</v>
          </cell>
          <cell r="E521">
            <v>90.1</v>
          </cell>
          <cell r="F521">
            <v>389</v>
          </cell>
          <cell r="G521">
            <v>154</v>
          </cell>
          <cell r="H521">
            <v>22</v>
          </cell>
          <cell r="I521">
            <v>77</v>
          </cell>
          <cell r="J521">
            <v>242</v>
          </cell>
          <cell r="K521">
            <v>364</v>
          </cell>
          <cell r="L521">
            <v>17.399999999999999</v>
          </cell>
          <cell r="M521">
            <v>15.4</v>
          </cell>
          <cell r="N521">
            <v>8.6999999999999993</v>
          </cell>
          <cell r="O521">
            <v>0.8</v>
          </cell>
          <cell r="P521">
            <v>4.7</v>
          </cell>
          <cell r="R521">
            <v>334</v>
          </cell>
          <cell r="S521">
            <v>0</v>
          </cell>
          <cell r="T521">
            <v>7.3</v>
          </cell>
          <cell r="W521">
            <v>8.8000000000000007</v>
          </cell>
          <cell r="X521">
            <v>148</v>
          </cell>
          <cell r="Y521">
            <v>0</v>
          </cell>
        </row>
        <row r="522">
          <cell r="B522" t="str">
            <v>Stroh, Weizen</v>
          </cell>
          <cell r="C522">
            <v>81376</v>
          </cell>
          <cell r="D522">
            <v>2013</v>
          </cell>
          <cell r="E522">
            <v>92</v>
          </cell>
          <cell r="F522">
            <v>33</v>
          </cell>
          <cell r="G522">
            <v>458</v>
          </cell>
          <cell r="H522">
            <v>12</v>
          </cell>
          <cell r="I522">
            <v>63</v>
          </cell>
          <cell r="J522">
            <v>502</v>
          </cell>
          <cell r="K522">
            <v>794</v>
          </cell>
          <cell r="L522">
            <v>1</v>
          </cell>
          <cell r="M522">
            <v>12.5</v>
          </cell>
          <cell r="N522">
            <v>3</v>
          </cell>
          <cell r="O522">
            <v>0.2</v>
          </cell>
          <cell r="P522">
            <v>0.5</v>
          </cell>
          <cell r="Q522">
            <v>0.45</v>
          </cell>
          <cell r="R522">
            <v>72</v>
          </cell>
          <cell r="S522">
            <v>6.35</v>
          </cell>
          <cell r="T522">
            <v>3.48</v>
          </cell>
          <cell r="U522">
            <v>4.3</v>
          </cell>
          <cell r="W522">
            <v>-6.24</v>
          </cell>
          <cell r="X522">
            <v>98</v>
          </cell>
          <cell r="Y522">
            <v>0</v>
          </cell>
        </row>
        <row r="523">
          <cell r="B523" t="str">
            <v>Heu, 2. S.</v>
          </cell>
          <cell r="C523">
            <v>81377</v>
          </cell>
          <cell r="D523">
            <v>2013</v>
          </cell>
          <cell r="E523">
            <v>89.4</v>
          </cell>
          <cell r="F523">
            <v>185</v>
          </cell>
          <cell r="G523">
            <v>283</v>
          </cell>
          <cell r="H523">
            <v>22</v>
          </cell>
          <cell r="I523">
            <v>91</v>
          </cell>
          <cell r="J523">
            <v>308</v>
          </cell>
          <cell r="K523">
            <v>506</v>
          </cell>
          <cell r="L523">
            <v>5.0999999999999996</v>
          </cell>
          <cell r="M523">
            <v>29.8</v>
          </cell>
          <cell r="N523">
            <v>5.5</v>
          </cell>
          <cell r="O523">
            <v>1.6</v>
          </cell>
          <cell r="P523">
            <v>1.9</v>
          </cell>
          <cell r="R523">
            <v>154</v>
          </cell>
          <cell r="S523">
            <v>0</v>
          </cell>
          <cell r="T523">
            <v>6.21</v>
          </cell>
          <cell r="U523">
            <v>3.18</v>
          </cell>
          <cell r="W523">
            <v>4.96</v>
          </cell>
          <cell r="X523">
            <v>196</v>
          </cell>
          <cell r="Y523">
            <v>0</v>
          </cell>
        </row>
        <row r="524">
          <cell r="B524" t="str">
            <v>Heu, 3. S.</v>
          </cell>
          <cell r="C524">
            <v>81379</v>
          </cell>
          <cell r="D524">
            <v>2014</v>
          </cell>
          <cell r="E524">
            <v>87.5</v>
          </cell>
          <cell r="F524">
            <v>106</v>
          </cell>
          <cell r="G524">
            <v>343</v>
          </cell>
          <cell r="H524">
            <v>21</v>
          </cell>
          <cell r="I524">
            <v>78</v>
          </cell>
          <cell r="J524">
            <v>357</v>
          </cell>
          <cell r="K524">
            <v>522</v>
          </cell>
          <cell r="L524">
            <v>4.5999999999999996</v>
          </cell>
          <cell r="M524">
            <v>19.8</v>
          </cell>
          <cell r="N524">
            <v>5.0999999999999996</v>
          </cell>
          <cell r="O524">
            <v>1.3</v>
          </cell>
          <cell r="P524">
            <v>1.8</v>
          </cell>
          <cell r="R524">
            <v>123</v>
          </cell>
          <cell r="S524">
            <v>0</v>
          </cell>
          <cell r="T524">
            <v>5.49</v>
          </cell>
          <cell r="U524">
            <v>3.28</v>
          </cell>
          <cell r="W524">
            <v>-2.72</v>
          </cell>
          <cell r="X524">
            <v>273</v>
          </cell>
          <cell r="Y524">
            <v>0</v>
          </cell>
        </row>
        <row r="525">
          <cell r="B525" t="str">
            <v>Heu, 3. S.</v>
          </cell>
          <cell r="C525">
            <v>81380</v>
          </cell>
          <cell r="D525">
            <v>2014</v>
          </cell>
          <cell r="E525">
            <v>87.6</v>
          </cell>
          <cell r="F525">
            <v>122</v>
          </cell>
          <cell r="G525">
            <v>333</v>
          </cell>
          <cell r="H525">
            <v>24</v>
          </cell>
          <cell r="I525">
            <v>85</v>
          </cell>
          <cell r="J525">
            <v>343</v>
          </cell>
          <cell r="K525">
            <v>523</v>
          </cell>
          <cell r="L525">
            <v>4.5</v>
          </cell>
          <cell r="M525">
            <v>21.1</v>
          </cell>
          <cell r="N525">
            <v>5.7</v>
          </cell>
          <cell r="O525">
            <v>1.7</v>
          </cell>
          <cell r="P525">
            <v>1.9</v>
          </cell>
          <cell r="R525">
            <v>129</v>
          </cell>
          <cell r="S525">
            <v>0</v>
          </cell>
          <cell r="T525">
            <v>5.63</v>
          </cell>
          <cell r="U525">
            <v>3.29</v>
          </cell>
          <cell r="W525">
            <v>-1.1200000000000001</v>
          </cell>
          <cell r="X525">
            <v>246</v>
          </cell>
          <cell r="Y525">
            <v>0</v>
          </cell>
        </row>
        <row r="526">
          <cell r="B526" t="str">
            <v>Silo 02</v>
          </cell>
          <cell r="C526">
            <v>81383</v>
          </cell>
          <cell r="D526">
            <v>2014</v>
          </cell>
          <cell r="E526">
            <v>32.299999999999997</v>
          </cell>
          <cell r="F526">
            <v>158</v>
          </cell>
          <cell r="G526">
            <v>281</v>
          </cell>
          <cell r="H526">
            <v>31</v>
          </cell>
          <cell r="I526">
            <v>101</v>
          </cell>
          <cell r="J526">
            <v>309</v>
          </cell>
          <cell r="K526">
            <v>452</v>
          </cell>
          <cell r="L526">
            <v>5.4</v>
          </cell>
          <cell r="M526">
            <v>32.299999999999997</v>
          </cell>
          <cell r="N526">
            <v>5</v>
          </cell>
          <cell r="O526">
            <v>1.1000000000000001</v>
          </cell>
          <cell r="P526">
            <v>1.9</v>
          </cell>
          <cell r="Q526">
            <v>0.15</v>
          </cell>
          <cell r="R526">
            <v>139</v>
          </cell>
          <cell r="S526">
            <v>10.49</v>
          </cell>
          <cell r="T526">
            <v>6.31</v>
          </cell>
          <cell r="U526">
            <v>2.86</v>
          </cell>
          <cell r="V526">
            <v>76</v>
          </cell>
          <cell r="W526">
            <v>3.04</v>
          </cell>
          <cell r="X526">
            <v>258</v>
          </cell>
          <cell r="Y526">
            <v>0</v>
          </cell>
        </row>
        <row r="527">
          <cell r="B527" t="str">
            <v>Silo 09</v>
          </cell>
          <cell r="C527">
            <v>81384</v>
          </cell>
          <cell r="D527">
            <v>2014</v>
          </cell>
          <cell r="E527">
            <v>30.9</v>
          </cell>
          <cell r="F527">
            <v>161</v>
          </cell>
          <cell r="G527">
            <v>285</v>
          </cell>
          <cell r="H527">
            <v>39</v>
          </cell>
          <cell r="I527">
            <v>120</v>
          </cell>
          <cell r="J527">
            <v>320</v>
          </cell>
          <cell r="K527">
            <v>477</v>
          </cell>
          <cell r="L527">
            <v>5.9</v>
          </cell>
          <cell r="M527">
            <v>40.6</v>
          </cell>
          <cell r="N527">
            <v>6.2</v>
          </cell>
          <cell r="O527">
            <v>1.5</v>
          </cell>
          <cell r="P527">
            <v>2.1</v>
          </cell>
          <cell r="R527">
            <v>136</v>
          </cell>
          <cell r="S527">
            <v>0</v>
          </cell>
          <cell r="T527">
            <v>6.09</v>
          </cell>
          <cell r="U527">
            <v>3.01</v>
          </cell>
          <cell r="V527">
            <v>13</v>
          </cell>
          <cell r="W527">
            <v>4</v>
          </cell>
          <cell r="X527">
            <v>203</v>
          </cell>
          <cell r="Y527">
            <v>0</v>
          </cell>
        </row>
        <row r="528">
          <cell r="B528" t="str">
            <v>Treber</v>
          </cell>
          <cell r="C528">
            <v>81385</v>
          </cell>
          <cell r="D528">
            <v>2014</v>
          </cell>
          <cell r="E528">
            <v>25.4</v>
          </cell>
          <cell r="F528">
            <v>248</v>
          </cell>
          <cell r="G528">
            <v>210</v>
          </cell>
          <cell r="H528">
            <v>105</v>
          </cell>
          <cell r="I528">
            <v>44</v>
          </cell>
          <cell r="J528">
            <v>309</v>
          </cell>
          <cell r="K528">
            <v>600</v>
          </cell>
          <cell r="L528">
            <v>9.1</v>
          </cell>
          <cell r="M528">
            <v>1.3</v>
          </cell>
          <cell r="N528">
            <v>5.2</v>
          </cell>
          <cell r="O528">
            <v>0.3</v>
          </cell>
          <cell r="P528">
            <v>2.5</v>
          </cell>
          <cell r="R528">
            <v>209</v>
          </cell>
          <cell r="S528">
            <v>0</v>
          </cell>
          <cell r="T528">
            <v>6.9</v>
          </cell>
          <cell r="W528">
            <v>6.24</v>
          </cell>
          <cell r="X528">
            <v>3</v>
          </cell>
          <cell r="Y528">
            <v>0</v>
          </cell>
        </row>
        <row r="529">
          <cell r="B529" t="str">
            <v>Silo 07</v>
          </cell>
          <cell r="C529">
            <v>81388</v>
          </cell>
          <cell r="D529" t="str">
            <v>2013</v>
          </cell>
          <cell r="E529">
            <v>35.9</v>
          </cell>
          <cell r="F529">
            <v>121</v>
          </cell>
          <cell r="G529">
            <v>179</v>
          </cell>
          <cell r="H529">
            <v>55</v>
          </cell>
          <cell r="I529">
            <v>39</v>
          </cell>
          <cell r="J529">
            <v>201</v>
          </cell>
          <cell r="K529">
            <v>350</v>
          </cell>
          <cell r="L529">
            <v>4</v>
          </cell>
          <cell r="M529">
            <v>7.2</v>
          </cell>
          <cell r="N529">
            <v>3.1</v>
          </cell>
          <cell r="O529">
            <v>0.2</v>
          </cell>
          <cell r="P529">
            <v>1.2</v>
          </cell>
          <cell r="Q529">
            <v>0.25</v>
          </cell>
          <cell r="R529">
            <v>153</v>
          </cell>
          <cell r="S529">
            <v>11.9</v>
          </cell>
          <cell r="T529">
            <v>7.33</v>
          </cell>
          <cell r="U529">
            <v>1.53</v>
          </cell>
          <cell r="W529">
            <v>-5.12</v>
          </cell>
          <cell r="X529">
            <v>435</v>
          </cell>
          <cell r="Y529">
            <v>0</v>
          </cell>
        </row>
        <row r="530">
          <cell r="B530" t="str">
            <v>Silo 04</v>
          </cell>
          <cell r="C530">
            <v>81389</v>
          </cell>
          <cell r="D530">
            <v>2013</v>
          </cell>
          <cell r="E530">
            <v>35.9</v>
          </cell>
          <cell r="F530">
            <v>175</v>
          </cell>
          <cell r="G530">
            <v>276</v>
          </cell>
          <cell r="H530">
            <v>39</v>
          </cell>
          <cell r="I530">
            <v>97</v>
          </cell>
          <cell r="J530">
            <v>317</v>
          </cell>
          <cell r="K530">
            <v>453</v>
          </cell>
          <cell r="L530">
            <v>5.4</v>
          </cell>
          <cell r="M530">
            <v>31.2</v>
          </cell>
          <cell r="N530">
            <v>7.3</v>
          </cell>
          <cell r="O530">
            <v>0.7</v>
          </cell>
          <cell r="P530">
            <v>2.5</v>
          </cell>
          <cell r="R530">
            <v>138</v>
          </cell>
          <cell r="S530">
            <v>0</v>
          </cell>
          <cell r="T530">
            <v>6.09</v>
          </cell>
          <cell r="U530">
            <v>2.87</v>
          </cell>
          <cell r="W530">
            <v>5.92</v>
          </cell>
          <cell r="X530">
            <v>236</v>
          </cell>
          <cell r="Y530">
            <v>0</v>
          </cell>
        </row>
        <row r="531">
          <cell r="B531" t="str">
            <v>Treber</v>
          </cell>
          <cell r="C531">
            <v>81390</v>
          </cell>
          <cell r="D531">
            <v>2014</v>
          </cell>
          <cell r="E531">
            <v>23.8</v>
          </cell>
          <cell r="F531">
            <v>225</v>
          </cell>
          <cell r="G531">
            <v>200</v>
          </cell>
          <cell r="H531">
            <v>92</v>
          </cell>
          <cell r="I531">
            <v>39</v>
          </cell>
          <cell r="J531">
            <v>289</v>
          </cell>
          <cell r="K531">
            <v>582</v>
          </cell>
          <cell r="L531">
            <v>6.4</v>
          </cell>
          <cell r="M531">
            <v>1.5</v>
          </cell>
          <cell r="N531">
            <v>3.8</v>
          </cell>
          <cell r="O531">
            <v>0.2</v>
          </cell>
          <cell r="P531">
            <v>1.2</v>
          </cell>
          <cell r="R531">
            <v>198</v>
          </cell>
          <cell r="S531">
            <v>0</v>
          </cell>
          <cell r="T531">
            <v>6.79</v>
          </cell>
          <cell r="W531">
            <v>4.32</v>
          </cell>
          <cell r="X531">
            <v>62</v>
          </cell>
          <cell r="Y531">
            <v>0</v>
          </cell>
        </row>
        <row r="532">
          <cell r="B532" t="str">
            <v>WGB 42/42/8/6,5/1,0/0,5</v>
          </cell>
          <cell r="C532">
            <v>81391</v>
          </cell>
          <cell r="D532">
            <v>2014</v>
          </cell>
          <cell r="E532">
            <v>90.5</v>
          </cell>
          <cell r="F532">
            <v>129</v>
          </cell>
          <cell r="G532">
            <v>105</v>
          </cell>
          <cell r="H532">
            <v>21</v>
          </cell>
          <cell r="I532">
            <v>86</v>
          </cell>
          <cell r="J532">
            <v>109</v>
          </cell>
          <cell r="K532">
            <v>153</v>
          </cell>
          <cell r="L532">
            <v>8.3000000000000007</v>
          </cell>
          <cell r="M532">
            <v>7.2</v>
          </cell>
          <cell r="N532">
            <v>13.9</v>
          </cell>
          <cell r="O532">
            <v>4</v>
          </cell>
          <cell r="P532">
            <v>4.4000000000000004</v>
          </cell>
          <cell r="R532">
            <v>159</v>
          </cell>
          <cell r="S532">
            <v>0</v>
          </cell>
          <cell r="T532">
            <v>8.01</v>
          </cell>
          <cell r="W532">
            <v>-4.8</v>
          </cell>
          <cell r="X532">
            <v>611</v>
          </cell>
          <cell r="Y532">
            <v>0</v>
          </cell>
        </row>
        <row r="533">
          <cell r="B533" t="str">
            <v>RES</v>
          </cell>
          <cell r="C533">
            <v>81392</v>
          </cell>
          <cell r="D533">
            <v>2014</v>
          </cell>
          <cell r="E533">
            <v>88.6</v>
          </cell>
          <cell r="F533">
            <v>385</v>
          </cell>
          <cell r="G533">
            <v>140</v>
          </cell>
          <cell r="H533">
            <v>17</v>
          </cell>
          <cell r="I533">
            <v>76</v>
          </cell>
          <cell r="J533">
            <v>245</v>
          </cell>
          <cell r="K533">
            <v>333</v>
          </cell>
          <cell r="L533">
            <v>16.7</v>
          </cell>
          <cell r="M533">
            <v>14.9</v>
          </cell>
          <cell r="N533">
            <v>8</v>
          </cell>
          <cell r="O533">
            <v>0.6</v>
          </cell>
          <cell r="P533">
            <v>5.0999999999999996</v>
          </cell>
          <cell r="R533">
            <v>253</v>
          </cell>
          <cell r="S533">
            <v>0</v>
          </cell>
          <cell r="T533">
            <v>7.28</v>
          </cell>
          <cell r="W533">
            <v>21.12</v>
          </cell>
          <cell r="X533">
            <v>189</v>
          </cell>
          <cell r="Y533">
            <v>0</v>
          </cell>
        </row>
        <row r="534">
          <cell r="B534" t="str">
            <v>gRES</v>
          </cell>
          <cell r="C534">
            <v>81393</v>
          </cell>
          <cell r="D534">
            <v>2014</v>
          </cell>
          <cell r="E534">
            <v>89.7</v>
          </cell>
          <cell r="F534">
            <v>391</v>
          </cell>
          <cell r="G534">
            <v>151</v>
          </cell>
          <cell r="H534">
            <v>21</v>
          </cell>
          <cell r="I534">
            <v>81</v>
          </cell>
          <cell r="J534">
            <v>250</v>
          </cell>
          <cell r="K534">
            <v>354</v>
          </cell>
          <cell r="L534">
            <v>17.100000000000001</v>
          </cell>
          <cell r="M534">
            <v>15.3</v>
          </cell>
          <cell r="N534">
            <v>7.1</v>
          </cell>
          <cell r="O534">
            <v>0.8</v>
          </cell>
          <cell r="P534">
            <v>4.8</v>
          </cell>
          <cell r="R534">
            <v>335</v>
          </cell>
          <cell r="S534">
            <v>0</v>
          </cell>
          <cell r="T534">
            <v>7.26</v>
          </cell>
          <cell r="W534">
            <v>8.9600000000000009</v>
          </cell>
          <cell r="X534">
            <v>153</v>
          </cell>
          <cell r="Y534">
            <v>0</v>
          </cell>
        </row>
        <row r="535">
          <cell r="B535" t="str">
            <v>Stroh, Gerste</v>
          </cell>
          <cell r="C535">
            <v>81394</v>
          </cell>
          <cell r="D535">
            <v>2014</v>
          </cell>
          <cell r="E535">
            <v>92</v>
          </cell>
          <cell r="F535">
            <v>30</v>
          </cell>
          <cell r="G535">
            <v>448</v>
          </cell>
          <cell r="H535">
            <v>16</v>
          </cell>
          <cell r="I535">
            <v>41</v>
          </cell>
          <cell r="J535">
            <v>520</v>
          </cell>
          <cell r="K535">
            <v>822</v>
          </cell>
          <cell r="L535">
            <v>0.4</v>
          </cell>
          <cell r="M535">
            <v>11.1</v>
          </cell>
          <cell r="N535">
            <v>2.8</v>
          </cell>
          <cell r="O535">
            <v>0.2</v>
          </cell>
          <cell r="P535">
            <v>0.4</v>
          </cell>
          <cell r="R535">
            <v>75</v>
          </cell>
          <cell r="S535">
            <v>0</v>
          </cell>
          <cell r="T535">
            <v>3.85</v>
          </cell>
          <cell r="U535">
            <v>4.3</v>
          </cell>
          <cell r="W535">
            <v>-7.2</v>
          </cell>
          <cell r="X535">
            <v>91</v>
          </cell>
          <cell r="Y535">
            <v>0</v>
          </cell>
        </row>
        <row r="536">
          <cell r="B536" t="str">
            <v>Heu, 2. S.</v>
          </cell>
          <cell r="C536">
            <v>81395</v>
          </cell>
          <cell r="D536">
            <v>2013</v>
          </cell>
          <cell r="E536">
            <v>88.2</v>
          </cell>
          <cell r="F536">
            <v>180</v>
          </cell>
          <cell r="G536">
            <v>297</v>
          </cell>
          <cell r="H536">
            <v>24</v>
          </cell>
          <cell r="I536">
            <v>85</v>
          </cell>
          <cell r="J536">
            <v>330</v>
          </cell>
          <cell r="K536">
            <v>492</v>
          </cell>
          <cell r="L536">
            <v>5.3</v>
          </cell>
          <cell r="M536">
            <v>23.2</v>
          </cell>
          <cell r="N536">
            <v>5.2</v>
          </cell>
          <cell r="O536">
            <v>2.8</v>
          </cell>
          <cell r="P536">
            <v>2.2999999999999998</v>
          </cell>
          <cell r="R536">
            <v>152</v>
          </cell>
          <cell r="S536">
            <v>0</v>
          </cell>
          <cell r="T536">
            <v>6.16</v>
          </cell>
          <cell r="U536">
            <v>3.1</v>
          </cell>
          <cell r="W536">
            <v>4.4800000000000004</v>
          </cell>
          <cell r="X536">
            <v>219</v>
          </cell>
          <cell r="Y536">
            <v>0</v>
          </cell>
        </row>
        <row r="537">
          <cell r="B537" t="str">
            <v>RES</v>
          </cell>
          <cell r="C537">
            <v>81396</v>
          </cell>
          <cell r="D537">
            <v>2014</v>
          </cell>
          <cell r="E537">
            <v>88.4</v>
          </cell>
          <cell r="F537">
            <v>384</v>
          </cell>
          <cell r="G537">
            <v>149</v>
          </cell>
          <cell r="H537">
            <v>17</v>
          </cell>
          <cell r="I537">
            <v>79</v>
          </cell>
          <cell r="J537">
            <v>242</v>
          </cell>
          <cell r="K537">
            <v>317</v>
          </cell>
          <cell r="L537">
            <v>16.5</v>
          </cell>
          <cell r="M537">
            <v>15.4</v>
          </cell>
          <cell r="N537">
            <v>6.9</v>
          </cell>
          <cell r="O537">
            <v>0.6</v>
          </cell>
          <cell r="P537">
            <v>5</v>
          </cell>
          <cell r="R537">
            <v>252</v>
          </cell>
          <cell r="S537">
            <v>0</v>
          </cell>
          <cell r="T537">
            <v>7.25</v>
          </cell>
          <cell r="W537">
            <v>21.12</v>
          </cell>
          <cell r="X537">
            <v>203</v>
          </cell>
          <cell r="Y537">
            <v>0</v>
          </cell>
        </row>
        <row r="538">
          <cell r="B538" t="str">
            <v>Silo 07</v>
          </cell>
          <cell r="C538">
            <v>81401</v>
          </cell>
          <cell r="D538" t="str">
            <v>2013</v>
          </cell>
          <cell r="E538">
            <v>34.4</v>
          </cell>
          <cell r="F538">
            <v>76</v>
          </cell>
          <cell r="G538">
            <v>186</v>
          </cell>
          <cell r="H538">
            <v>39</v>
          </cell>
          <cell r="I538">
            <v>41</v>
          </cell>
          <cell r="J538">
            <v>188</v>
          </cell>
          <cell r="K538">
            <v>345</v>
          </cell>
          <cell r="L538">
            <v>2.7</v>
          </cell>
          <cell r="M538">
            <v>10.4</v>
          </cell>
          <cell r="N538">
            <v>2.5</v>
          </cell>
          <cell r="O538">
            <v>0.2</v>
          </cell>
          <cell r="P538">
            <v>1.2</v>
          </cell>
          <cell r="Q538">
            <v>0.25</v>
          </cell>
          <cell r="R538">
            <v>142</v>
          </cell>
          <cell r="S538">
            <v>11.93</v>
          </cell>
          <cell r="T538">
            <v>7.36</v>
          </cell>
          <cell r="U538">
            <v>1.5</v>
          </cell>
          <cell r="W538">
            <v>-10.56</v>
          </cell>
          <cell r="X538">
            <v>499</v>
          </cell>
          <cell r="Y538">
            <v>0</v>
          </cell>
        </row>
        <row r="539">
          <cell r="B539" t="str">
            <v>Silo 02</v>
          </cell>
          <cell r="C539">
            <v>81402</v>
          </cell>
          <cell r="D539">
            <v>2014</v>
          </cell>
          <cell r="E539">
            <v>24.6</v>
          </cell>
          <cell r="F539">
            <v>151</v>
          </cell>
          <cell r="G539">
            <v>276</v>
          </cell>
          <cell r="H539">
            <v>37</v>
          </cell>
          <cell r="I539">
            <v>97</v>
          </cell>
          <cell r="J539">
            <v>309</v>
          </cell>
          <cell r="K539">
            <v>470</v>
          </cell>
          <cell r="L539">
            <v>5</v>
          </cell>
          <cell r="M539">
            <v>26.9</v>
          </cell>
          <cell r="N539">
            <v>4.7</v>
          </cell>
          <cell r="O539">
            <v>1.7</v>
          </cell>
          <cell r="P539">
            <v>1.8</v>
          </cell>
          <cell r="Q539">
            <v>0.15</v>
          </cell>
          <cell r="R539">
            <v>136</v>
          </cell>
          <cell r="S539">
            <v>10.34</v>
          </cell>
          <cell r="T539">
            <v>6.19</v>
          </cell>
          <cell r="U539">
            <v>2.97</v>
          </cell>
          <cell r="W539">
            <v>2.4</v>
          </cell>
          <cell r="X539">
            <v>245</v>
          </cell>
          <cell r="Y539">
            <v>0</v>
          </cell>
        </row>
        <row r="540">
          <cell r="B540" t="str">
            <v>Treber</v>
          </cell>
          <cell r="C540">
            <v>81403</v>
          </cell>
          <cell r="D540">
            <v>2014</v>
          </cell>
          <cell r="E540">
            <v>24</v>
          </cell>
          <cell r="F540">
            <v>237</v>
          </cell>
          <cell r="G540">
            <v>256</v>
          </cell>
          <cell r="H540">
            <v>92</v>
          </cell>
          <cell r="I540">
            <v>44</v>
          </cell>
          <cell r="J540">
            <v>288</v>
          </cell>
          <cell r="K540">
            <v>570</v>
          </cell>
          <cell r="L540">
            <v>8</v>
          </cell>
          <cell r="M540">
            <v>2.2000000000000002</v>
          </cell>
          <cell r="N540">
            <v>3.9</v>
          </cell>
          <cell r="O540">
            <v>0.9</v>
          </cell>
          <cell r="P540">
            <v>1.8</v>
          </cell>
          <cell r="R540">
            <v>202</v>
          </cell>
          <cell r="S540">
            <v>0</v>
          </cell>
          <cell r="T540">
            <v>6.74</v>
          </cell>
          <cell r="W540">
            <v>5.6</v>
          </cell>
          <cell r="X540">
            <v>57</v>
          </cell>
          <cell r="Y540">
            <v>0</v>
          </cell>
        </row>
        <row r="541">
          <cell r="B541" t="str">
            <v>WGB 42/42/8/6,5/1,0/0,5</v>
          </cell>
          <cell r="C541">
            <v>81404</v>
          </cell>
          <cell r="D541">
            <v>2014</v>
          </cell>
          <cell r="E541">
            <v>90.5</v>
          </cell>
          <cell r="F541">
            <v>141</v>
          </cell>
          <cell r="G541">
            <v>102</v>
          </cell>
          <cell r="H541">
            <v>19</v>
          </cell>
          <cell r="I541">
            <v>89</v>
          </cell>
          <cell r="J541">
            <v>105</v>
          </cell>
          <cell r="K541">
            <v>151</v>
          </cell>
          <cell r="L541">
            <v>8.8000000000000007</v>
          </cell>
          <cell r="M541">
            <v>8</v>
          </cell>
          <cell r="N541">
            <v>14.1</v>
          </cell>
          <cell r="O541">
            <v>4.4000000000000004</v>
          </cell>
          <cell r="P541">
            <v>5.0999999999999996</v>
          </cell>
          <cell r="R541">
            <v>160</v>
          </cell>
          <cell r="S541">
            <v>0</v>
          </cell>
          <cell r="T541">
            <v>7.91</v>
          </cell>
          <cell r="W541">
            <v>-3.04</v>
          </cell>
          <cell r="X541">
            <v>600</v>
          </cell>
          <cell r="Y541">
            <v>0</v>
          </cell>
        </row>
        <row r="542">
          <cell r="B542" t="str">
            <v>RES</v>
          </cell>
          <cell r="C542">
            <v>81405</v>
          </cell>
          <cell r="D542">
            <v>2014</v>
          </cell>
          <cell r="E542">
            <v>89</v>
          </cell>
          <cell r="F542">
            <v>373</v>
          </cell>
          <cell r="G542">
            <v>148</v>
          </cell>
          <cell r="H542">
            <v>21</v>
          </cell>
          <cell r="I542">
            <v>80</v>
          </cell>
          <cell r="J542">
            <v>243</v>
          </cell>
          <cell r="K542">
            <v>329</v>
          </cell>
          <cell r="L542">
            <v>16.100000000000001</v>
          </cell>
          <cell r="M542">
            <v>14.8</v>
          </cell>
          <cell r="N542">
            <v>8</v>
          </cell>
          <cell r="O542">
            <v>0.9</v>
          </cell>
          <cell r="P542">
            <v>4.9000000000000004</v>
          </cell>
          <cell r="R542">
            <v>248</v>
          </cell>
          <cell r="S542">
            <v>0</v>
          </cell>
          <cell r="T542">
            <v>7.26</v>
          </cell>
          <cell r="W542">
            <v>20</v>
          </cell>
          <cell r="X542">
            <v>197</v>
          </cell>
          <cell r="Y542">
            <v>0</v>
          </cell>
        </row>
        <row r="543">
          <cell r="B543" t="str">
            <v>gRES</v>
          </cell>
          <cell r="C543">
            <v>81406</v>
          </cell>
          <cell r="D543">
            <v>2014</v>
          </cell>
          <cell r="E543">
            <v>89.8</v>
          </cell>
          <cell r="F543">
            <v>390</v>
          </cell>
          <cell r="G543">
            <v>157</v>
          </cell>
          <cell r="H543">
            <v>19</v>
          </cell>
          <cell r="I543">
            <v>82</v>
          </cell>
          <cell r="J543">
            <v>248</v>
          </cell>
          <cell r="K543">
            <v>360</v>
          </cell>
          <cell r="L543">
            <v>16.600000000000001</v>
          </cell>
          <cell r="M543">
            <v>15.7</v>
          </cell>
          <cell r="N543">
            <v>7.1</v>
          </cell>
          <cell r="O543">
            <v>0.8</v>
          </cell>
          <cell r="P543">
            <v>4.7</v>
          </cell>
          <cell r="R543">
            <v>334</v>
          </cell>
          <cell r="S543">
            <v>0</v>
          </cell>
          <cell r="T543">
            <v>7.24</v>
          </cell>
          <cell r="W543">
            <v>8.9600000000000009</v>
          </cell>
          <cell r="X543">
            <v>149</v>
          </cell>
          <cell r="Y543">
            <v>0</v>
          </cell>
        </row>
        <row r="544">
          <cell r="B544" t="str">
            <v>Stroh, Gerste</v>
          </cell>
          <cell r="C544">
            <v>81407</v>
          </cell>
          <cell r="D544">
            <v>2014</v>
          </cell>
          <cell r="E544">
            <v>92.1</v>
          </cell>
          <cell r="F544">
            <v>26</v>
          </cell>
          <cell r="G544">
            <v>457</v>
          </cell>
          <cell r="H544">
            <v>15</v>
          </cell>
          <cell r="I544">
            <v>39</v>
          </cell>
          <cell r="J544">
            <v>514</v>
          </cell>
          <cell r="K544">
            <v>819</v>
          </cell>
          <cell r="L544">
            <v>0.3</v>
          </cell>
          <cell r="M544">
            <v>11.2</v>
          </cell>
          <cell r="N544">
            <v>2.7</v>
          </cell>
          <cell r="O544">
            <v>0.3</v>
          </cell>
          <cell r="P544">
            <v>0.4</v>
          </cell>
          <cell r="R544">
            <v>74</v>
          </cell>
          <cell r="S544">
            <v>0</v>
          </cell>
          <cell r="T544">
            <v>3.85</v>
          </cell>
          <cell r="U544">
            <v>4.3</v>
          </cell>
          <cell r="W544">
            <v>-7.68</v>
          </cell>
          <cell r="X544">
            <v>101</v>
          </cell>
          <cell r="Y544">
            <v>0</v>
          </cell>
        </row>
        <row r="545">
          <cell r="B545" t="str">
            <v>Heu, 2. S.</v>
          </cell>
          <cell r="C545">
            <v>81408</v>
          </cell>
          <cell r="D545">
            <v>2014</v>
          </cell>
          <cell r="E545">
            <v>87.4</v>
          </cell>
          <cell r="F545">
            <v>180</v>
          </cell>
          <cell r="G545">
            <v>280</v>
          </cell>
          <cell r="H545">
            <v>26</v>
          </cell>
          <cell r="I545">
            <v>77</v>
          </cell>
          <cell r="J545">
            <v>323</v>
          </cell>
          <cell r="K545">
            <v>494</v>
          </cell>
          <cell r="L545">
            <v>5</v>
          </cell>
          <cell r="M545">
            <v>17.8</v>
          </cell>
          <cell r="N545">
            <v>5.3</v>
          </cell>
          <cell r="O545">
            <v>2.7</v>
          </cell>
          <cell r="P545">
            <v>2.2999999999999998</v>
          </cell>
          <cell r="R545">
            <v>153</v>
          </cell>
          <cell r="S545">
            <v>0</v>
          </cell>
          <cell r="T545">
            <v>6.24</v>
          </cell>
          <cell r="U545">
            <v>3.11</v>
          </cell>
          <cell r="W545">
            <v>4.32</v>
          </cell>
          <cell r="X545">
            <v>223</v>
          </cell>
          <cell r="Y545">
            <v>0</v>
          </cell>
        </row>
        <row r="546">
          <cell r="B546" t="str">
            <v>Treber</v>
          </cell>
          <cell r="C546">
            <v>81415</v>
          </cell>
          <cell r="D546">
            <v>2014</v>
          </cell>
          <cell r="E546">
            <v>22.6</v>
          </cell>
          <cell r="F546">
            <v>280</v>
          </cell>
          <cell r="G546">
            <v>196</v>
          </cell>
          <cell r="H546">
            <v>86</v>
          </cell>
          <cell r="I546">
            <v>42</v>
          </cell>
          <cell r="J546">
            <v>304</v>
          </cell>
          <cell r="K546">
            <v>579</v>
          </cell>
          <cell r="L546">
            <v>9.5</v>
          </cell>
          <cell r="M546">
            <v>2.7</v>
          </cell>
          <cell r="N546">
            <v>5</v>
          </cell>
          <cell r="O546">
            <v>0.3</v>
          </cell>
          <cell r="P546">
            <v>2.4</v>
          </cell>
          <cell r="R546">
            <v>220</v>
          </cell>
          <cell r="S546">
            <v>0</v>
          </cell>
          <cell r="T546">
            <v>6.78</v>
          </cell>
          <cell r="W546">
            <v>9.6</v>
          </cell>
          <cell r="X546">
            <v>13</v>
          </cell>
          <cell r="Y546">
            <v>0</v>
          </cell>
        </row>
        <row r="547">
          <cell r="B547" t="str">
            <v>Gerste</v>
          </cell>
          <cell r="C547">
            <v>81416</v>
          </cell>
          <cell r="D547">
            <v>2014</v>
          </cell>
          <cell r="E547">
            <v>90.6</v>
          </cell>
          <cell r="F547">
            <v>114</v>
          </cell>
          <cell r="G547">
            <v>98</v>
          </cell>
          <cell r="H547">
            <v>24</v>
          </cell>
          <cell r="I547">
            <v>33</v>
          </cell>
          <cell r="J547">
            <v>87</v>
          </cell>
          <cell r="K547">
            <v>222</v>
          </cell>
          <cell r="L547">
            <v>4.4000000000000004</v>
          </cell>
          <cell r="M547">
            <v>6.3</v>
          </cell>
          <cell r="N547">
            <v>1.2</v>
          </cell>
          <cell r="O547">
            <v>0.1</v>
          </cell>
          <cell r="P547">
            <v>1</v>
          </cell>
          <cell r="Q547">
            <v>0.25</v>
          </cell>
          <cell r="R547">
            <v>158</v>
          </cell>
          <cell r="S547">
            <v>12.62</v>
          </cell>
          <cell r="T547">
            <v>7.92</v>
          </cell>
          <cell r="U547">
            <v>-0.1</v>
          </cell>
          <cell r="V547">
            <v>20</v>
          </cell>
          <cell r="W547">
            <v>-7.04</v>
          </cell>
          <cell r="X547">
            <v>607</v>
          </cell>
          <cell r="Y547">
            <v>0</v>
          </cell>
        </row>
        <row r="548">
          <cell r="B548" t="str">
            <v>Weizen</v>
          </cell>
          <cell r="C548">
            <v>81417</v>
          </cell>
          <cell r="D548">
            <v>2014</v>
          </cell>
          <cell r="E548">
            <v>87.8</v>
          </cell>
          <cell r="F548">
            <v>145</v>
          </cell>
          <cell r="G548">
            <v>37</v>
          </cell>
          <cell r="H548">
            <v>22</v>
          </cell>
          <cell r="I548">
            <v>19</v>
          </cell>
          <cell r="J548">
            <v>62</v>
          </cell>
          <cell r="K548">
            <v>147</v>
          </cell>
          <cell r="L548">
            <v>4.7</v>
          </cell>
          <cell r="M548">
            <v>5.6</v>
          </cell>
          <cell r="N548">
            <v>1</v>
          </cell>
          <cell r="O548">
            <v>0.1</v>
          </cell>
          <cell r="P548">
            <v>1.1000000000000001</v>
          </cell>
          <cell r="Q548">
            <v>0.2</v>
          </cell>
          <cell r="R548">
            <v>172</v>
          </cell>
          <cell r="S548">
            <v>13.44</v>
          </cell>
          <cell r="T548">
            <v>8.5399999999999991</v>
          </cell>
          <cell r="U548">
            <v>-0.2</v>
          </cell>
          <cell r="V548">
            <v>35</v>
          </cell>
          <cell r="W548">
            <v>-4.32</v>
          </cell>
          <cell r="X548">
            <v>667</v>
          </cell>
          <cell r="Y548">
            <v>0</v>
          </cell>
        </row>
        <row r="549">
          <cell r="B549" t="str">
            <v>Ackerbohnen</v>
          </cell>
          <cell r="C549">
            <v>81418</v>
          </cell>
          <cell r="D549">
            <v>2014</v>
          </cell>
          <cell r="E549">
            <v>89</v>
          </cell>
          <cell r="F549">
            <v>262</v>
          </cell>
          <cell r="G549">
            <v>107</v>
          </cell>
          <cell r="H549">
            <v>17</v>
          </cell>
          <cell r="I549">
            <v>37</v>
          </cell>
          <cell r="J549">
            <v>149</v>
          </cell>
          <cell r="K549">
            <v>229</v>
          </cell>
          <cell r="L549">
            <v>7.9</v>
          </cell>
          <cell r="M549">
            <v>12.8</v>
          </cell>
          <cell r="N549">
            <v>1.9</v>
          </cell>
          <cell r="O549">
            <v>0.2</v>
          </cell>
          <cell r="P549">
            <v>1.6</v>
          </cell>
          <cell r="Q549">
            <v>0.15</v>
          </cell>
          <cell r="R549">
            <v>189</v>
          </cell>
          <cell r="S549">
            <v>13.61</v>
          </cell>
          <cell r="T549">
            <v>8.6199999999999992</v>
          </cell>
          <cell r="U549">
            <v>0.2</v>
          </cell>
          <cell r="V549">
            <v>40</v>
          </cell>
          <cell r="W549">
            <v>11.68</v>
          </cell>
          <cell r="X549">
            <v>455</v>
          </cell>
          <cell r="Y549">
            <v>0</v>
          </cell>
        </row>
        <row r="550">
          <cell r="B550" t="str">
            <v>RES</v>
          </cell>
          <cell r="C550">
            <v>81419</v>
          </cell>
          <cell r="D550">
            <v>2014</v>
          </cell>
          <cell r="E550">
            <v>88.7</v>
          </cell>
          <cell r="F550">
            <v>370</v>
          </cell>
          <cell r="G550">
            <v>150</v>
          </cell>
          <cell r="H550">
            <v>32</v>
          </cell>
          <cell r="I550">
            <v>83</v>
          </cell>
          <cell r="J550">
            <v>238</v>
          </cell>
          <cell r="K550">
            <v>324</v>
          </cell>
          <cell r="L550">
            <v>15.8</v>
          </cell>
          <cell r="M550">
            <v>14.1</v>
          </cell>
          <cell r="N550">
            <v>6.7</v>
          </cell>
          <cell r="O550">
            <v>0.6</v>
          </cell>
          <cell r="P550">
            <v>4.8</v>
          </cell>
          <cell r="R550">
            <v>248</v>
          </cell>
          <cell r="S550">
            <v>0</v>
          </cell>
          <cell r="T550">
            <v>7.31</v>
          </cell>
          <cell r="W550">
            <v>19.52</v>
          </cell>
          <cell r="X550">
            <v>191</v>
          </cell>
          <cell r="Y550">
            <v>0</v>
          </cell>
        </row>
        <row r="551">
          <cell r="B551" t="str">
            <v>Treber</v>
          </cell>
          <cell r="C551">
            <v>81420</v>
          </cell>
          <cell r="D551" t="str">
            <v>2014</v>
          </cell>
          <cell r="E551">
            <v>18.899999999999999</v>
          </cell>
          <cell r="F551">
            <v>229</v>
          </cell>
          <cell r="G551">
            <v>205</v>
          </cell>
          <cell r="H551">
            <v>95</v>
          </cell>
          <cell r="I551">
            <v>42</v>
          </cell>
          <cell r="J551">
            <v>293</v>
          </cell>
          <cell r="K551">
            <v>590</v>
          </cell>
          <cell r="L551">
            <v>8.4</v>
          </cell>
          <cell r="M551">
            <v>1.8</v>
          </cell>
          <cell r="N551">
            <v>4.8</v>
          </cell>
          <cell r="O551">
            <v>0.3</v>
          </cell>
          <cell r="P551">
            <v>1.7</v>
          </cell>
          <cell r="Q551">
            <v>0.4</v>
          </cell>
          <cell r="R551">
            <v>200</v>
          </cell>
          <cell r="S551">
            <v>11.42</v>
          </cell>
          <cell r="T551">
            <v>6.79</v>
          </cell>
          <cell r="U551">
            <v>1.05</v>
          </cell>
          <cell r="W551">
            <v>4.6399999999999997</v>
          </cell>
          <cell r="X551">
            <v>44</v>
          </cell>
          <cell r="Y551">
            <v>0</v>
          </cell>
        </row>
        <row r="552">
          <cell r="B552" t="str">
            <v>Heu, 2. S.</v>
          </cell>
          <cell r="C552">
            <v>81421</v>
          </cell>
          <cell r="D552" t="str">
            <v>2013</v>
          </cell>
          <cell r="E552">
            <v>88.8</v>
          </cell>
          <cell r="F552">
            <v>191</v>
          </cell>
          <cell r="G552">
            <v>298</v>
          </cell>
          <cell r="H552">
            <v>35</v>
          </cell>
          <cell r="I552">
            <v>97</v>
          </cell>
          <cell r="J552">
            <v>289</v>
          </cell>
          <cell r="K552">
            <v>440</v>
          </cell>
          <cell r="L552">
            <v>5.6</v>
          </cell>
          <cell r="M552">
            <v>27.8</v>
          </cell>
          <cell r="N552">
            <v>5</v>
          </cell>
          <cell r="O552">
            <v>1.5</v>
          </cell>
          <cell r="P552">
            <v>2</v>
          </cell>
          <cell r="Q552">
            <v>0.25</v>
          </cell>
          <cell r="R552">
            <v>160</v>
          </cell>
          <cell r="S552">
            <v>10.81</v>
          </cell>
          <cell r="T552">
            <v>6.53</v>
          </cell>
          <cell r="U552">
            <v>2.79</v>
          </cell>
          <cell r="W552">
            <v>4.96</v>
          </cell>
          <cell r="X552">
            <v>237</v>
          </cell>
          <cell r="Y552">
            <v>0</v>
          </cell>
        </row>
        <row r="553">
          <cell r="B553" t="str">
            <v>Heu, 2. S.</v>
          </cell>
          <cell r="C553">
            <v>81422</v>
          </cell>
          <cell r="D553" t="str">
            <v>2013</v>
          </cell>
          <cell r="E553">
            <v>88.1</v>
          </cell>
          <cell r="F553">
            <v>175</v>
          </cell>
          <cell r="G553">
            <v>296</v>
          </cell>
          <cell r="H553">
            <v>31</v>
          </cell>
          <cell r="I553">
            <v>100</v>
          </cell>
          <cell r="J553">
            <v>300</v>
          </cell>
          <cell r="K553">
            <v>460</v>
          </cell>
          <cell r="L553">
            <v>4.8</v>
          </cell>
          <cell r="M553">
            <v>24.9</v>
          </cell>
          <cell r="N553">
            <v>5.8</v>
          </cell>
          <cell r="O553">
            <v>1.5</v>
          </cell>
          <cell r="P553">
            <v>2.4</v>
          </cell>
          <cell r="Q553">
            <v>0.25</v>
          </cell>
          <cell r="R553">
            <v>151</v>
          </cell>
          <cell r="S553">
            <v>10.33</v>
          </cell>
          <cell r="T553">
            <v>6.19</v>
          </cell>
          <cell r="U553">
            <v>2.91</v>
          </cell>
          <cell r="W553">
            <v>3.84</v>
          </cell>
          <cell r="X553">
            <v>234</v>
          </cell>
          <cell r="Y553">
            <v>0</v>
          </cell>
        </row>
        <row r="554">
          <cell r="B554" t="str">
            <v>KF Kalb "Julia Kehrle"</v>
          </cell>
          <cell r="C554">
            <v>81423</v>
          </cell>
          <cell r="D554" t="str">
            <v>2014</v>
          </cell>
          <cell r="E554">
            <v>89.6</v>
          </cell>
          <cell r="F554">
            <v>212</v>
          </cell>
          <cell r="G554">
            <v>107</v>
          </cell>
          <cell r="H554">
            <v>53</v>
          </cell>
          <cell r="I554">
            <v>92</v>
          </cell>
          <cell r="J554">
            <v>140</v>
          </cell>
          <cell r="K554">
            <v>199</v>
          </cell>
          <cell r="L554">
            <v>15.4</v>
          </cell>
          <cell r="M554">
            <v>9.3000000000000007</v>
          </cell>
          <cell r="N554">
            <v>11.7</v>
          </cell>
          <cell r="O554">
            <v>3.6</v>
          </cell>
          <cell r="P554">
            <v>4.5999999999999996</v>
          </cell>
          <cell r="Q554">
            <v>0.32</v>
          </cell>
          <cell r="R554">
            <v>192</v>
          </cell>
          <cell r="S554">
            <v>12.47</v>
          </cell>
          <cell r="T554">
            <v>7.77</v>
          </cell>
          <cell r="W554">
            <v>3.2</v>
          </cell>
          <cell r="X554">
            <v>444</v>
          </cell>
          <cell r="Y554">
            <v>0</v>
          </cell>
        </row>
        <row r="555">
          <cell r="B555" t="str">
            <v>KF Kalb "Julia Kehrle"</v>
          </cell>
          <cell r="C555">
            <v>81424</v>
          </cell>
          <cell r="D555" t="str">
            <v>2014</v>
          </cell>
          <cell r="E555">
            <v>89.4</v>
          </cell>
          <cell r="F555">
            <v>211</v>
          </cell>
          <cell r="G555">
            <v>107</v>
          </cell>
          <cell r="H555">
            <v>51</v>
          </cell>
          <cell r="I555">
            <v>84</v>
          </cell>
          <cell r="J555">
            <v>149</v>
          </cell>
          <cell r="K555">
            <v>203</v>
          </cell>
          <cell r="L555">
            <v>12.6</v>
          </cell>
          <cell r="M555">
            <v>9.3000000000000007</v>
          </cell>
          <cell r="N555">
            <v>9.6</v>
          </cell>
          <cell r="O555">
            <v>3.4</v>
          </cell>
          <cell r="P555">
            <v>4.3</v>
          </cell>
          <cell r="Q555">
            <v>0.32</v>
          </cell>
          <cell r="R555">
            <v>193</v>
          </cell>
          <cell r="S555">
            <v>12.6</v>
          </cell>
          <cell r="T555">
            <v>7.87</v>
          </cell>
          <cell r="W555">
            <v>2.88</v>
          </cell>
          <cell r="X555">
            <v>451</v>
          </cell>
          <cell r="Y555">
            <v>0</v>
          </cell>
        </row>
        <row r="556">
          <cell r="B556" t="str">
            <v>RB Gärheu</v>
          </cell>
          <cell r="C556">
            <v>81425</v>
          </cell>
          <cell r="D556">
            <v>2014</v>
          </cell>
          <cell r="E556">
            <v>72.3</v>
          </cell>
          <cell r="F556">
            <v>160</v>
          </cell>
          <cell r="G556">
            <v>347</v>
          </cell>
          <cell r="H556">
            <v>23</v>
          </cell>
          <cell r="I556">
            <v>90</v>
          </cell>
          <cell r="J556">
            <v>383</v>
          </cell>
          <cell r="K556">
            <v>518</v>
          </cell>
          <cell r="L556">
            <v>3.4</v>
          </cell>
          <cell r="M556">
            <v>19.5</v>
          </cell>
          <cell r="N556">
            <v>8.1999999999999993</v>
          </cell>
          <cell r="O556">
            <v>2.2000000000000002</v>
          </cell>
          <cell r="P556">
            <v>3.3</v>
          </cell>
          <cell r="R556">
            <v>130</v>
          </cell>
          <cell r="S556">
            <v>0</v>
          </cell>
          <cell r="T556">
            <v>5.01</v>
          </cell>
          <cell r="U556">
            <v>3.26</v>
          </cell>
          <cell r="W556">
            <v>4.8</v>
          </cell>
          <cell r="X556">
            <v>209</v>
          </cell>
          <cell r="Y556">
            <v>0</v>
          </cell>
        </row>
        <row r="557">
          <cell r="B557" t="str">
            <v>RB Gärheu</v>
          </cell>
          <cell r="C557">
            <v>81426</v>
          </cell>
          <cell r="D557">
            <v>2014</v>
          </cell>
          <cell r="E557">
            <v>62.1</v>
          </cell>
          <cell r="F557">
            <v>176</v>
          </cell>
          <cell r="G557">
            <v>332</v>
          </cell>
          <cell r="H557">
            <v>23</v>
          </cell>
          <cell r="I557">
            <v>84</v>
          </cell>
          <cell r="J557">
            <v>363</v>
          </cell>
          <cell r="K557">
            <v>485</v>
          </cell>
          <cell r="L557">
            <v>4.2</v>
          </cell>
          <cell r="M557">
            <v>14.6</v>
          </cell>
          <cell r="N557">
            <v>7.3</v>
          </cell>
          <cell r="O557">
            <v>3.9</v>
          </cell>
          <cell r="P557">
            <v>3.6</v>
          </cell>
          <cell r="R557">
            <v>141</v>
          </cell>
          <cell r="S557">
            <v>0</v>
          </cell>
          <cell r="T557">
            <v>5.51</v>
          </cell>
          <cell r="U557">
            <v>3.06</v>
          </cell>
          <cell r="W557">
            <v>5.6</v>
          </cell>
          <cell r="X557">
            <v>232</v>
          </cell>
          <cell r="Y557">
            <v>0</v>
          </cell>
        </row>
        <row r="558">
          <cell r="B558" t="str">
            <v>RB Gärheu</v>
          </cell>
          <cell r="C558">
            <v>81427</v>
          </cell>
          <cell r="D558">
            <v>2014</v>
          </cell>
          <cell r="E558">
            <v>76.7</v>
          </cell>
          <cell r="F558">
            <v>127</v>
          </cell>
          <cell r="G558">
            <v>317</v>
          </cell>
          <cell r="H558">
            <v>21</v>
          </cell>
          <cell r="I558">
            <v>101</v>
          </cell>
          <cell r="J558">
            <v>343</v>
          </cell>
          <cell r="K558">
            <v>510</v>
          </cell>
          <cell r="L558">
            <v>3.3</v>
          </cell>
          <cell r="M558">
            <v>16.600000000000001</v>
          </cell>
          <cell r="N558">
            <v>6</v>
          </cell>
          <cell r="O558">
            <v>0.8</v>
          </cell>
          <cell r="P558">
            <v>2.5</v>
          </cell>
          <cell r="R558">
            <v>126</v>
          </cell>
          <cell r="S558">
            <v>0</v>
          </cell>
          <cell r="T558">
            <v>5.34</v>
          </cell>
          <cell r="U558">
            <v>3.21</v>
          </cell>
          <cell r="W558">
            <v>0.16</v>
          </cell>
          <cell r="X558">
            <v>241</v>
          </cell>
          <cell r="Y558">
            <v>0</v>
          </cell>
        </row>
        <row r="559">
          <cell r="B559" t="str">
            <v>Silo 02</v>
          </cell>
          <cell r="C559">
            <v>81428</v>
          </cell>
          <cell r="D559">
            <v>2014</v>
          </cell>
          <cell r="E559">
            <v>31</v>
          </cell>
          <cell r="F559">
            <v>154</v>
          </cell>
          <cell r="G559">
            <v>278</v>
          </cell>
          <cell r="H559">
            <v>36</v>
          </cell>
          <cell r="I559">
            <v>108</v>
          </cell>
          <cell r="J559">
            <v>301</v>
          </cell>
          <cell r="K559">
            <v>448</v>
          </cell>
          <cell r="L559">
            <v>5.5</v>
          </cell>
          <cell r="M559">
            <v>31.4</v>
          </cell>
          <cell r="N559">
            <v>5.2</v>
          </cell>
          <cell r="O559">
            <v>0.8</v>
          </cell>
          <cell r="P559">
            <v>1.9</v>
          </cell>
          <cell r="Q559">
            <v>0.15</v>
          </cell>
          <cell r="R559">
            <v>134</v>
          </cell>
          <cell r="S559">
            <v>10.130000000000001</v>
          </cell>
          <cell r="T559">
            <v>6.05</v>
          </cell>
          <cell r="U559">
            <v>2.84</v>
          </cell>
          <cell r="W559">
            <v>3.2</v>
          </cell>
          <cell r="X559">
            <v>254</v>
          </cell>
          <cell r="Y559">
            <v>0</v>
          </cell>
        </row>
        <row r="560">
          <cell r="B560" t="str">
            <v>Silo 8</v>
          </cell>
          <cell r="C560">
            <v>81429</v>
          </cell>
          <cell r="D560">
            <v>2013</v>
          </cell>
          <cell r="E560">
            <v>35.4</v>
          </cell>
          <cell r="F560">
            <v>80</v>
          </cell>
          <cell r="G560">
            <v>182</v>
          </cell>
          <cell r="H560">
            <v>40</v>
          </cell>
          <cell r="I560">
            <v>42</v>
          </cell>
          <cell r="J560">
            <v>192</v>
          </cell>
          <cell r="K560">
            <v>335</v>
          </cell>
          <cell r="L560">
            <v>2.8</v>
          </cell>
          <cell r="M560">
            <v>9.9</v>
          </cell>
          <cell r="N560">
            <v>4.3</v>
          </cell>
          <cell r="O560">
            <v>0.2</v>
          </cell>
          <cell r="P560">
            <v>1.3</v>
          </cell>
          <cell r="R560">
            <v>142</v>
          </cell>
          <cell r="S560">
            <v>0</v>
          </cell>
          <cell r="T560">
            <v>7.33</v>
          </cell>
          <cell r="U560">
            <v>1.44</v>
          </cell>
          <cell r="W560">
            <v>-9.92</v>
          </cell>
          <cell r="X560">
            <v>503</v>
          </cell>
          <cell r="Y560">
            <v>0</v>
          </cell>
        </row>
        <row r="561">
          <cell r="B561" t="str">
            <v>Treber</v>
          </cell>
          <cell r="C561">
            <v>81430</v>
          </cell>
          <cell r="D561">
            <v>2014</v>
          </cell>
          <cell r="E561">
            <v>23.9</v>
          </cell>
          <cell r="F561">
            <v>226</v>
          </cell>
          <cell r="G561">
            <v>205</v>
          </cell>
          <cell r="H561">
            <v>88</v>
          </cell>
          <cell r="I561">
            <v>39</v>
          </cell>
          <cell r="J561">
            <v>296</v>
          </cell>
          <cell r="K561">
            <v>573</v>
          </cell>
          <cell r="L561">
            <v>7.5</v>
          </cell>
          <cell r="M561">
            <v>1.2</v>
          </cell>
          <cell r="N561">
            <v>4.5999999999999996</v>
          </cell>
          <cell r="O561">
            <v>0.1</v>
          </cell>
          <cell r="P561">
            <v>1.6</v>
          </cell>
          <cell r="R561">
            <v>197</v>
          </cell>
          <cell r="S561">
            <v>0</v>
          </cell>
          <cell r="T561">
            <v>6.74</v>
          </cell>
          <cell r="U561">
            <v>1.1000000000000001</v>
          </cell>
          <cell r="W561">
            <v>4.6399999999999997</v>
          </cell>
          <cell r="X561">
            <v>74</v>
          </cell>
          <cell r="Y561">
            <v>0</v>
          </cell>
        </row>
        <row r="562">
          <cell r="B562" t="str">
            <v>Silo 03</v>
          </cell>
          <cell r="C562">
            <v>81431</v>
          </cell>
          <cell r="D562">
            <v>2014</v>
          </cell>
          <cell r="E562">
            <v>41.8</v>
          </cell>
          <cell r="F562">
            <v>126</v>
          </cell>
          <cell r="G562">
            <v>292</v>
          </cell>
          <cell r="H562">
            <v>25</v>
          </cell>
          <cell r="I562">
            <v>92</v>
          </cell>
          <cell r="J562">
            <v>309</v>
          </cell>
          <cell r="K562">
            <v>458</v>
          </cell>
          <cell r="L562">
            <v>4.9000000000000004</v>
          </cell>
          <cell r="M562">
            <v>25.8</v>
          </cell>
          <cell r="N562">
            <v>5.9</v>
          </cell>
          <cell r="O562">
            <v>0.9</v>
          </cell>
          <cell r="P562">
            <v>1.8</v>
          </cell>
          <cell r="R562">
            <v>131</v>
          </cell>
          <cell r="S562">
            <v>0</v>
          </cell>
          <cell r="T562">
            <v>6.13</v>
          </cell>
          <cell r="U562">
            <v>2.9</v>
          </cell>
          <cell r="V562">
            <v>162</v>
          </cell>
          <cell r="W562">
            <v>-0.8</v>
          </cell>
          <cell r="X562">
            <v>299</v>
          </cell>
          <cell r="Y562">
            <v>0</v>
          </cell>
        </row>
        <row r="563">
          <cell r="B563" t="str">
            <v>Treber</v>
          </cell>
          <cell r="C563">
            <v>81432</v>
          </cell>
          <cell r="D563">
            <v>2014</v>
          </cell>
          <cell r="E563">
            <v>21</v>
          </cell>
          <cell r="F563">
            <v>244</v>
          </cell>
          <cell r="G563">
            <v>221</v>
          </cell>
          <cell r="H563">
            <v>94</v>
          </cell>
          <cell r="I563">
            <v>43</v>
          </cell>
          <cell r="J563">
            <v>318</v>
          </cell>
          <cell r="K563">
            <v>605</v>
          </cell>
          <cell r="L563">
            <v>8.5</v>
          </cell>
          <cell r="M563">
            <v>2.2000000000000002</v>
          </cell>
          <cell r="N563">
            <v>4.3</v>
          </cell>
          <cell r="O563">
            <v>0.2</v>
          </cell>
          <cell r="P563">
            <v>1.9</v>
          </cell>
          <cell r="R563">
            <v>206</v>
          </cell>
          <cell r="S563">
            <v>0</v>
          </cell>
          <cell r="T563">
            <v>6.79</v>
          </cell>
          <cell r="W563">
            <v>6.08</v>
          </cell>
          <cell r="X563">
            <v>14</v>
          </cell>
          <cell r="Y563">
            <v>0</v>
          </cell>
        </row>
        <row r="564">
          <cell r="B564" t="str">
            <v>Silo 01</v>
          </cell>
          <cell r="C564">
            <v>81433</v>
          </cell>
          <cell r="D564">
            <v>2014</v>
          </cell>
          <cell r="E564">
            <v>36.1</v>
          </cell>
          <cell r="F564">
            <v>153</v>
          </cell>
          <cell r="G564">
            <v>285</v>
          </cell>
          <cell r="H564">
            <v>37</v>
          </cell>
          <cell r="I564">
            <v>149</v>
          </cell>
          <cell r="J564">
            <v>297</v>
          </cell>
          <cell r="K564">
            <v>449</v>
          </cell>
          <cell r="L564">
            <v>5.9</v>
          </cell>
          <cell r="M564">
            <v>24.3</v>
          </cell>
          <cell r="N564">
            <v>6.7</v>
          </cell>
          <cell r="O564">
            <v>1.6</v>
          </cell>
          <cell r="P564">
            <v>2.4</v>
          </cell>
          <cell r="Q564">
            <v>0.15</v>
          </cell>
          <cell r="R564">
            <v>129</v>
          </cell>
          <cell r="S564">
            <v>9.6300000000000008</v>
          </cell>
          <cell r="T564">
            <v>5.75</v>
          </cell>
          <cell r="U564">
            <v>2.85</v>
          </cell>
          <cell r="W564">
            <v>3.84</v>
          </cell>
          <cell r="X564">
            <v>212</v>
          </cell>
          <cell r="Y564">
            <v>0</v>
          </cell>
        </row>
        <row r="565">
          <cell r="B565" t="str">
            <v>Silo 8</v>
          </cell>
          <cell r="C565">
            <v>81434</v>
          </cell>
          <cell r="D565">
            <v>2013</v>
          </cell>
          <cell r="E565">
            <v>35.299999999999997</v>
          </cell>
          <cell r="F565">
            <v>74</v>
          </cell>
          <cell r="G565">
            <v>185</v>
          </cell>
          <cell r="H565">
            <v>38</v>
          </cell>
          <cell r="I565">
            <v>44</v>
          </cell>
          <cell r="J565">
            <v>191</v>
          </cell>
          <cell r="K565">
            <v>338</v>
          </cell>
          <cell r="L565">
            <v>2.7</v>
          </cell>
          <cell r="M565">
            <v>9.4</v>
          </cell>
          <cell r="N565">
            <v>3.6</v>
          </cell>
          <cell r="O565">
            <v>0.2</v>
          </cell>
          <cell r="P565">
            <v>1.1000000000000001</v>
          </cell>
          <cell r="R565">
            <v>139</v>
          </cell>
          <cell r="S565">
            <v>0</v>
          </cell>
          <cell r="T565">
            <v>7.2</v>
          </cell>
          <cell r="U565">
            <v>1.46</v>
          </cell>
          <cell r="W565">
            <v>-10.4</v>
          </cell>
          <cell r="X565">
            <v>506</v>
          </cell>
          <cell r="Y565">
            <v>0</v>
          </cell>
        </row>
        <row r="566">
          <cell r="B566" t="str">
            <v>Treber</v>
          </cell>
          <cell r="C566">
            <v>81435</v>
          </cell>
          <cell r="D566">
            <v>2014</v>
          </cell>
          <cell r="E566">
            <v>23.6</v>
          </cell>
          <cell r="F566">
            <v>233</v>
          </cell>
          <cell r="G566">
            <v>210</v>
          </cell>
          <cell r="H566">
            <v>86</v>
          </cell>
          <cell r="I566">
            <v>40</v>
          </cell>
          <cell r="J566">
            <v>294</v>
          </cell>
          <cell r="K566">
            <v>571</v>
          </cell>
          <cell r="L566">
            <v>6.6</v>
          </cell>
          <cell r="M566">
            <v>1.2</v>
          </cell>
          <cell r="N566">
            <v>3.9</v>
          </cell>
          <cell r="O566">
            <v>0.1</v>
          </cell>
          <cell r="P566">
            <v>1.4</v>
          </cell>
          <cell r="R566">
            <v>200</v>
          </cell>
          <cell r="S566">
            <v>0</v>
          </cell>
          <cell r="T566">
            <v>6.73</v>
          </cell>
          <cell r="W566">
            <v>5.28</v>
          </cell>
          <cell r="X566">
            <v>70</v>
          </cell>
          <cell r="Y566">
            <v>0</v>
          </cell>
        </row>
        <row r="567">
          <cell r="B567" t="str">
            <v>Silo 11</v>
          </cell>
          <cell r="C567">
            <v>81437</v>
          </cell>
          <cell r="D567">
            <v>2014</v>
          </cell>
          <cell r="E567">
            <v>32.200000000000003</v>
          </cell>
          <cell r="F567">
            <v>71</v>
          </cell>
          <cell r="G567">
            <v>195</v>
          </cell>
          <cell r="H567">
            <v>25</v>
          </cell>
          <cell r="I567">
            <v>35</v>
          </cell>
          <cell r="J567">
            <v>212</v>
          </cell>
          <cell r="K567">
            <v>351</v>
          </cell>
          <cell r="L567">
            <v>2.6</v>
          </cell>
          <cell r="M567">
            <v>10.199999999999999</v>
          </cell>
          <cell r="N567">
            <v>2.1</v>
          </cell>
          <cell r="O567">
            <v>0.1</v>
          </cell>
          <cell r="P567">
            <v>0.9</v>
          </cell>
          <cell r="R567">
            <v>133</v>
          </cell>
          <cell r="S567">
            <v>0</v>
          </cell>
          <cell r="T567">
            <v>6.78</v>
          </cell>
          <cell r="U567">
            <v>1.54</v>
          </cell>
          <cell r="W567">
            <v>-9.92</v>
          </cell>
          <cell r="X567">
            <v>518</v>
          </cell>
          <cell r="Y567">
            <v>0</v>
          </cell>
        </row>
        <row r="568">
          <cell r="B568" t="str">
            <v>Silo 11</v>
          </cell>
          <cell r="C568">
            <v>81438</v>
          </cell>
          <cell r="D568">
            <v>2014</v>
          </cell>
          <cell r="E568">
            <v>34</v>
          </cell>
          <cell r="F568">
            <v>71</v>
          </cell>
          <cell r="G568">
            <v>185</v>
          </cell>
          <cell r="H568">
            <v>29</v>
          </cell>
          <cell r="I568">
            <v>37</v>
          </cell>
          <cell r="J568">
            <v>210</v>
          </cell>
          <cell r="K568">
            <v>354</v>
          </cell>
          <cell r="L568">
            <v>2.6</v>
          </cell>
          <cell r="M568">
            <v>10.5</v>
          </cell>
          <cell r="N568">
            <v>2</v>
          </cell>
          <cell r="O568">
            <v>0.1</v>
          </cell>
          <cell r="P568">
            <v>0.9</v>
          </cell>
          <cell r="R568">
            <v>135</v>
          </cell>
          <cell r="S568">
            <v>0</v>
          </cell>
          <cell r="T568">
            <v>6.92</v>
          </cell>
          <cell r="U568">
            <v>1.56</v>
          </cell>
          <cell r="W568">
            <v>-10.24</v>
          </cell>
          <cell r="X568">
            <v>509</v>
          </cell>
          <cell r="Y568">
            <v>0</v>
          </cell>
        </row>
        <row r="569">
          <cell r="B569" t="str">
            <v>Silo 11</v>
          </cell>
          <cell r="C569">
            <v>81439</v>
          </cell>
          <cell r="D569">
            <v>2014</v>
          </cell>
          <cell r="E569">
            <v>33.9</v>
          </cell>
          <cell r="F569">
            <v>78</v>
          </cell>
          <cell r="G569">
            <v>185</v>
          </cell>
          <cell r="H569">
            <v>30</v>
          </cell>
          <cell r="I569">
            <v>37</v>
          </cell>
          <cell r="J569">
            <v>202</v>
          </cell>
          <cell r="K569">
            <v>349</v>
          </cell>
          <cell r="L569">
            <v>3</v>
          </cell>
          <cell r="M569">
            <v>10.3</v>
          </cell>
          <cell r="N569">
            <v>2</v>
          </cell>
          <cell r="O569">
            <v>0.1</v>
          </cell>
          <cell r="P569">
            <v>0.9</v>
          </cell>
          <cell r="R569">
            <v>137</v>
          </cell>
          <cell r="S569">
            <v>0</v>
          </cell>
          <cell r="T569">
            <v>6.99</v>
          </cell>
          <cell r="U569">
            <v>1.52</v>
          </cell>
          <cell r="W569">
            <v>-9.44</v>
          </cell>
          <cell r="X569">
            <v>506</v>
          </cell>
          <cell r="Y569">
            <v>0</v>
          </cell>
        </row>
        <row r="570">
          <cell r="B570" t="str">
            <v>Silo 11</v>
          </cell>
          <cell r="C570">
            <v>81440</v>
          </cell>
          <cell r="D570">
            <v>2014</v>
          </cell>
          <cell r="E570">
            <v>33.9</v>
          </cell>
          <cell r="F570">
            <v>77</v>
          </cell>
          <cell r="G570">
            <v>193</v>
          </cell>
          <cell r="H570">
            <v>28</v>
          </cell>
          <cell r="I570">
            <v>35</v>
          </cell>
          <cell r="J570">
            <v>201</v>
          </cell>
          <cell r="K570">
            <v>342</v>
          </cell>
          <cell r="L570">
            <v>3</v>
          </cell>
          <cell r="M570">
            <v>10.4</v>
          </cell>
          <cell r="N570">
            <v>2.1</v>
          </cell>
          <cell r="O570">
            <v>0.1</v>
          </cell>
          <cell r="P570">
            <v>1</v>
          </cell>
          <cell r="R570">
            <v>138</v>
          </cell>
          <cell r="S570">
            <v>0</v>
          </cell>
          <cell r="T570">
            <v>7.02</v>
          </cell>
          <cell r="U570">
            <v>1.48</v>
          </cell>
          <cell r="W570">
            <v>-9.76</v>
          </cell>
          <cell r="X570">
            <v>518</v>
          </cell>
          <cell r="Y570">
            <v>0</v>
          </cell>
        </row>
        <row r="571">
          <cell r="B571" t="str">
            <v>Silo 12</v>
          </cell>
          <cell r="C571">
            <v>81441</v>
          </cell>
          <cell r="D571">
            <v>2014</v>
          </cell>
          <cell r="E571">
            <v>35.200000000000003</v>
          </cell>
          <cell r="F571">
            <v>73</v>
          </cell>
          <cell r="G571">
            <v>192</v>
          </cell>
          <cell r="H571">
            <v>32</v>
          </cell>
          <cell r="I571">
            <v>35</v>
          </cell>
          <cell r="J571">
            <v>210</v>
          </cell>
          <cell r="K571">
            <v>363</v>
          </cell>
          <cell r="L571">
            <v>2.8</v>
          </cell>
          <cell r="M571">
            <v>9.3000000000000007</v>
          </cell>
          <cell r="N571">
            <v>1.8</v>
          </cell>
          <cell r="O571">
            <v>0.1</v>
          </cell>
          <cell r="P571">
            <v>0.9</v>
          </cell>
          <cell r="R571">
            <v>134</v>
          </cell>
          <cell r="S571">
            <v>0</v>
          </cell>
          <cell r="T571">
            <v>6.8</v>
          </cell>
          <cell r="U571">
            <v>1.61</v>
          </cell>
          <cell r="W571">
            <v>-9.76</v>
          </cell>
          <cell r="X571">
            <v>497</v>
          </cell>
          <cell r="Y571">
            <v>0</v>
          </cell>
        </row>
        <row r="572">
          <cell r="B572" t="str">
            <v>Silo 12</v>
          </cell>
          <cell r="C572">
            <v>81442</v>
          </cell>
          <cell r="D572">
            <v>2014</v>
          </cell>
          <cell r="E572">
            <v>35.700000000000003</v>
          </cell>
          <cell r="F572">
            <v>75</v>
          </cell>
          <cell r="G572">
            <v>193</v>
          </cell>
          <cell r="H572">
            <v>31</v>
          </cell>
          <cell r="I572">
            <v>36</v>
          </cell>
          <cell r="J572">
            <v>209</v>
          </cell>
          <cell r="K572">
            <v>364</v>
          </cell>
          <cell r="L572">
            <v>2.9</v>
          </cell>
          <cell r="M572">
            <v>10.199999999999999</v>
          </cell>
          <cell r="N572">
            <v>1.9</v>
          </cell>
          <cell r="O572">
            <v>0.1</v>
          </cell>
          <cell r="P572">
            <v>0.9</v>
          </cell>
          <cell r="R572">
            <v>133</v>
          </cell>
          <cell r="S572">
            <v>0</v>
          </cell>
          <cell r="T572">
            <v>6.75</v>
          </cell>
          <cell r="U572">
            <v>1.61</v>
          </cell>
          <cell r="W572">
            <v>-9.2799999999999994</v>
          </cell>
          <cell r="X572">
            <v>494</v>
          </cell>
          <cell r="Y572">
            <v>0</v>
          </cell>
        </row>
        <row r="573">
          <cell r="B573" t="str">
            <v>Silo 05</v>
          </cell>
          <cell r="C573">
            <v>81443</v>
          </cell>
          <cell r="D573">
            <v>2014</v>
          </cell>
          <cell r="E573">
            <v>36.6</v>
          </cell>
          <cell r="F573">
            <v>75</v>
          </cell>
          <cell r="G573">
            <v>189</v>
          </cell>
          <cell r="H573">
            <v>28</v>
          </cell>
          <cell r="I573">
            <v>40</v>
          </cell>
          <cell r="J573">
            <v>215</v>
          </cell>
          <cell r="K573">
            <v>354</v>
          </cell>
          <cell r="L573">
            <v>2.8</v>
          </cell>
          <cell r="M573">
            <v>11.1</v>
          </cell>
          <cell r="N573">
            <v>2</v>
          </cell>
          <cell r="O573">
            <v>0.1</v>
          </cell>
          <cell r="P573">
            <v>1</v>
          </cell>
          <cell r="R573">
            <v>134</v>
          </cell>
          <cell r="S573">
            <v>0</v>
          </cell>
          <cell r="T573">
            <v>6.76</v>
          </cell>
          <cell r="U573">
            <v>1.55</v>
          </cell>
          <cell r="W573">
            <v>-9.44</v>
          </cell>
          <cell r="X573">
            <v>503</v>
          </cell>
          <cell r="Y573">
            <v>0</v>
          </cell>
        </row>
        <row r="574">
          <cell r="B574" t="str">
            <v>Silo 05</v>
          </cell>
          <cell r="C574">
            <v>81444</v>
          </cell>
          <cell r="D574">
            <v>2014</v>
          </cell>
          <cell r="E574">
            <v>36.299999999999997</v>
          </cell>
          <cell r="F574">
            <v>72</v>
          </cell>
          <cell r="G574">
            <v>189</v>
          </cell>
          <cell r="H574">
            <v>30</v>
          </cell>
          <cell r="I574">
            <v>37</v>
          </cell>
          <cell r="J574">
            <v>216</v>
          </cell>
          <cell r="K574">
            <v>355</v>
          </cell>
          <cell r="L574">
            <v>2.4</v>
          </cell>
          <cell r="M574">
            <v>10.8</v>
          </cell>
          <cell r="N574">
            <v>2</v>
          </cell>
          <cell r="O574">
            <v>0.1</v>
          </cell>
          <cell r="P574">
            <v>1</v>
          </cell>
          <cell r="R574">
            <v>134</v>
          </cell>
          <cell r="S574">
            <v>0</v>
          </cell>
          <cell r="T574">
            <v>6.82</v>
          </cell>
          <cell r="U574">
            <v>1.56</v>
          </cell>
          <cell r="W574">
            <v>-9.92</v>
          </cell>
          <cell r="X574">
            <v>506</v>
          </cell>
          <cell r="Y574">
            <v>0</v>
          </cell>
        </row>
        <row r="575">
          <cell r="B575" t="str">
            <v>Treber</v>
          </cell>
          <cell r="C575">
            <v>81445</v>
          </cell>
          <cell r="D575">
            <v>2014</v>
          </cell>
          <cell r="E575">
            <v>17.8</v>
          </cell>
          <cell r="F575">
            <v>228</v>
          </cell>
          <cell r="G575">
            <v>193</v>
          </cell>
          <cell r="H575">
            <v>35</v>
          </cell>
          <cell r="I575">
            <v>36</v>
          </cell>
          <cell r="J575">
            <v>288</v>
          </cell>
          <cell r="K575">
            <v>561</v>
          </cell>
          <cell r="L575">
            <v>6.1</v>
          </cell>
          <cell r="M575">
            <v>1.3</v>
          </cell>
          <cell r="N575">
            <v>3</v>
          </cell>
          <cell r="O575">
            <v>0.1</v>
          </cell>
          <cell r="P575">
            <v>1.1000000000000001</v>
          </cell>
          <cell r="R575">
            <v>192</v>
          </cell>
          <cell r="S575">
            <v>0</v>
          </cell>
          <cell r="T575">
            <v>6.28</v>
          </cell>
          <cell r="W575">
            <v>5.76</v>
          </cell>
          <cell r="X575">
            <v>140</v>
          </cell>
          <cell r="Y575">
            <v>0</v>
          </cell>
        </row>
        <row r="576">
          <cell r="B576" t="str">
            <v>Silo 07</v>
          </cell>
          <cell r="C576">
            <v>81446</v>
          </cell>
          <cell r="D576">
            <v>2014</v>
          </cell>
          <cell r="E576">
            <v>25.4</v>
          </cell>
          <cell r="F576">
            <v>179</v>
          </cell>
          <cell r="G576">
            <v>298</v>
          </cell>
          <cell r="H576">
            <v>28</v>
          </cell>
          <cell r="I576">
            <v>110</v>
          </cell>
          <cell r="J576">
            <v>307</v>
          </cell>
          <cell r="K576">
            <v>474</v>
          </cell>
          <cell r="L576">
            <v>6.8</v>
          </cell>
          <cell r="M576">
            <v>23.1</v>
          </cell>
          <cell r="N576">
            <v>6.3</v>
          </cell>
          <cell r="O576">
            <v>3.2</v>
          </cell>
          <cell r="P576">
            <v>2.6</v>
          </cell>
          <cell r="R576">
            <v>141</v>
          </cell>
          <cell r="S576">
            <v>0</v>
          </cell>
          <cell r="T576">
            <v>6.26</v>
          </cell>
          <cell r="U576">
            <v>2.89</v>
          </cell>
          <cell r="W576">
            <v>6.08</v>
          </cell>
          <cell r="X576">
            <v>209</v>
          </cell>
          <cell r="Y576">
            <v>0</v>
          </cell>
        </row>
        <row r="577">
          <cell r="B577" t="str">
            <v>Silo 03</v>
          </cell>
          <cell r="C577">
            <v>81447</v>
          </cell>
          <cell r="D577">
            <v>2014</v>
          </cell>
          <cell r="E577">
            <v>38.1</v>
          </cell>
          <cell r="F577">
            <v>124</v>
          </cell>
          <cell r="G577">
            <v>301</v>
          </cell>
          <cell r="H577">
            <v>26</v>
          </cell>
          <cell r="I577">
            <v>88</v>
          </cell>
          <cell r="J577">
            <v>309</v>
          </cell>
          <cell r="K577">
            <v>447</v>
          </cell>
          <cell r="L577">
            <v>5.2</v>
          </cell>
          <cell r="M577">
            <v>26.9</v>
          </cell>
          <cell r="N577">
            <v>4.4000000000000004</v>
          </cell>
          <cell r="O577">
            <v>1.5</v>
          </cell>
          <cell r="P577">
            <v>1.8</v>
          </cell>
          <cell r="R577">
            <v>130</v>
          </cell>
          <cell r="S577">
            <v>0</v>
          </cell>
          <cell r="T577">
            <v>6.07</v>
          </cell>
          <cell r="U577">
            <v>2.83</v>
          </cell>
          <cell r="W577">
            <v>-0.96</v>
          </cell>
          <cell r="X577">
            <v>315</v>
          </cell>
          <cell r="Y577">
            <v>0</v>
          </cell>
        </row>
        <row r="578">
          <cell r="B578" t="str">
            <v>Silo 04</v>
          </cell>
          <cell r="C578">
            <v>81448</v>
          </cell>
          <cell r="D578">
            <v>2014</v>
          </cell>
          <cell r="E578">
            <v>33.5</v>
          </cell>
          <cell r="F578">
            <v>155</v>
          </cell>
          <cell r="G578">
            <v>276</v>
          </cell>
          <cell r="H578">
            <v>35</v>
          </cell>
          <cell r="I578">
            <v>143</v>
          </cell>
          <cell r="J578">
            <v>288</v>
          </cell>
          <cell r="K578">
            <v>444</v>
          </cell>
          <cell r="L578">
            <v>6.2</v>
          </cell>
          <cell r="M578">
            <v>21.4</v>
          </cell>
          <cell r="N578">
            <v>8.5</v>
          </cell>
          <cell r="O578">
            <v>2.6</v>
          </cell>
          <cell r="P578">
            <v>3</v>
          </cell>
          <cell r="R578">
            <v>126</v>
          </cell>
          <cell r="S578">
            <v>0</v>
          </cell>
          <cell r="T578">
            <v>5.53</v>
          </cell>
          <cell r="U578">
            <v>2.81</v>
          </cell>
          <cell r="V578">
            <v>8</v>
          </cell>
          <cell r="W578">
            <v>4.6399999999999997</v>
          </cell>
          <cell r="X578">
            <v>223</v>
          </cell>
          <cell r="Y578">
            <v>0</v>
          </cell>
        </row>
        <row r="579">
          <cell r="B579" t="str">
            <v>Silo 03</v>
          </cell>
          <cell r="C579">
            <v>81449</v>
          </cell>
          <cell r="D579">
            <v>2014</v>
          </cell>
          <cell r="E579">
            <v>48</v>
          </cell>
          <cell r="F579">
            <v>148</v>
          </cell>
          <cell r="G579">
            <v>277</v>
          </cell>
          <cell r="H579">
            <v>35</v>
          </cell>
          <cell r="I579">
            <v>97</v>
          </cell>
          <cell r="J579">
            <v>296</v>
          </cell>
          <cell r="K579">
            <v>451</v>
          </cell>
          <cell r="L579">
            <v>5.8</v>
          </cell>
          <cell r="M579">
            <v>31.1</v>
          </cell>
          <cell r="N579">
            <v>5.5</v>
          </cell>
          <cell r="O579">
            <v>1.3</v>
          </cell>
          <cell r="P579">
            <v>2.1</v>
          </cell>
          <cell r="R579">
            <v>141</v>
          </cell>
          <cell r="S579">
            <v>0</v>
          </cell>
          <cell r="T579">
            <v>6.52</v>
          </cell>
          <cell r="U579">
            <v>2.85</v>
          </cell>
          <cell r="W579">
            <v>1.1200000000000001</v>
          </cell>
          <cell r="X579">
            <v>269</v>
          </cell>
          <cell r="Y579">
            <v>0</v>
          </cell>
        </row>
        <row r="580">
          <cell r="B580" t="str">
            <v>Silo 08</v>
          </cell>
          <cell r="C580">
            <v>81450</v>
          </cell>
          <cell r="D580" t="str">
            <v>2013</v>
          </cell>
          <cell r="E580">
            <v>33.4</v>
          </cell>
          <cell r="F580">
            <v>68</v>
          </cell>
          <cell r="G580">
            <v>178</v>
          </cell>
          <cell r="H580">
            <v>36</v>
          </cell>
          <cell r="I580">
            <v>40</v>
          </cell>
          <cell r="J580">
            <v>190</v>
          </cell>
          <cell r="K580">
            <v>342</v>
          </cell>
          <cell r="L580">
            <v>2.4</v>
          </cell>
          <cell r="M580">
            <v>11.1</v>
          </cell>
          <cell r="N580">
            <v>2.6</v>
          </cell>
          <cell r="O580">
            <v>0.2</v>
          </cell>
          <cell r="P580">
            <v>1</v>
          </cell>
          <cell r="R580">
            <v>137</v>
          </cell>
          <cell r="S580">
            <v>0</v>
          </cell>
          <cell r="T580">
            <v>7.18</v>
          </cell>
          <cell r="U580">
            <v>1.48</v>
          </cell>
          <cell r="W580">
            <v>-11.04</v>
          </cell>
          <cell r="X580">
            <v>514</v>
          </cell>
          <cell r="Y580">
            <v>0</v>
          </cell>
        </row>
        <row r="581">
          <cell r="B581" t="str">
            <v>RES</v>
          </cell>
          <cell r="C581">
            <v>81451</v>
          </cell>
          <cell r="D581">
            <v>2014</v>
          </cell>
          <cell r="E581">
            <v>91.4</v>
          </cell>
          <cell r="F581">
            <v>375</v>
          </cell>
          <cell r="G581">
            <v>137</v>
          </cell>
          <cell r="H581">
            <v>12</v>
          </cell>
          <cell r="I581">
            <v>74</v>
          </cell>
          <cell r="J581">
            <v>228</v>
          </cell>
          <cell r="K581">
            <v>291</v>
          </cell>
          <cell r="L581">
            <v>13.1</v>
          </cell>
          <cell r="M581">
            <v>15.1</v>
          </cell>
          <cell r="N581">
            <v>8</v>
          </cell>
          <cell r="O581">
            <v>0.3</v>
          </cell>
          <cell r="P581">
            <v>4.5</v>
          </cell>
          <cell r="R581">
            <v>248</v>
          </cell>
          <cell r="S581">
            <v>0</v>
          </cell>
          <cell r="T581">
            <v>7.2</v>
          </cell>
          <cell r="U581">
            <v>0.36</v>
          </cell>
          <cell r="W581">
            <v>20.32</v>
          </cell>
          <cell r="X581">
            <v>248</v>
          </cell>
          <cell r="Y581">
            <v>0</v>
          </cell>
        </row>
        <row r="582">
          <cell r="B582" t="str">
            <v>WGB 40/44/11/3/1,5/0,5</v>
          </cell>
          <cell r="C582">
            <v>81452</v>
          </cell>
          <cell r="D582">
            <v>2015</v>
          </cell>
          <cell r="E582">
            <v>90</v>
          </cell>
          <cell r="F582">
            <v>133</v>
          </cell>
          <cell r="G582">
            <v>45</v>
          </cell>
          <cell r="H582">
            <v>18</v>
          </cell>
          <cell r="I582">
            <v>101</v>
          </cell>
          <cell r="J582">
            <v>59</v>
          </cell>
          <cell r="K582">
            <v>139</v>
          </cell>
          <cell r="L582">
            <v>5.3</v>
          </cell>
          <cell r="M582">
            <v>8.3000000000000007</v>
          </cell>
          <cell r="N582">
            <v>18.100000000000001</v>
          </cell>
          <cell r="O582">
            <v>5.8</v>
          </cell>
          <cell r="P582">
            <v>4.4000000000000004</v>
          </cell>
          <cell r="R582">
            <v>146</v>
          </cell>
          <cell r="S582">
            <v>0</v>
          </cell>
          <cell r="T582">
            <v>6.93</v>
          </cell>
          <cell r="W582">
            <v>-2.08</v>
          </cell>
          <cell r="X582">
            <v>609</v>
          </cell>
          <cell r="Y582">
            <v>0</v>
          </cell>
        </row>
        <row r="583">
          <cell r="B583" t="str">
            <v>Stroh, Gerste</v>
          </cell>
          <cell r="C583">
            <v>81453</v>
          </cell>
          <cell r="D583">
            <v>2014</v>
          </cell>
          <cell r="E583">
            <v>93</v>
          </cell>
          <cell r="F583">
            <v>26</v>
          </cell>
          <cell r="G583">
            <v>465</v>
          </cell>
          <cell r="H583">
            <v>16</v>
          </cell>
          <cell r="I583">
            <v>51</v>
          </cell>
          <cell r="J583">
            <v>509</v>
          </cell>
          <cell r="K583">
            <v>783</v>
          </cell>
          <cell r="L583">
            <v>0.5</v>
          </cell>
          <cell r="M583">
            <v>12.1</v>
          </cell>
          <cell r="N583">
            <v>3.2</v>
          </cell>
          <cell r="O583">
            <v>0.3</v>
          </cell>
          <cell r="P583">
            <v>0.6</v>
          </cell>
          <cell r="R583">
            <v>73</v>
          </cell>
          <cell r="S583">
            <v>0</v>
          </cell>
          <cell r="T583">
            <v>3.8</v>
          </cell>
          <cell r="U583">
            <v>4.3</v>
          </cell>
          <cell r="W583">
            <v>-7.52</v>
          </cell>
          <cell r="X583">
            <v>124</v>
          </cell>
          <cell r="Y583">
            <v>0</v>
          </cell>
        </row>
        <row r="584">
          <cell r="B584" t="str">
            <v>Silo 03</v>
          </cell>
          <cell r="C584">
            <v>81458</v>
          </cell>
          <cell r="D584">
            <v>2014</v>
          </cell>
          <cell r="E584">
            <v>45.3</v>
          </cell>
          <cell r="F584">
            <v>152</v>
          </cell>
          <cell r="G584">
            <v>271</v>
          </cell>
          <cell r="H584">
            <v>33</v>
          </cell>
          <cell r="I584">
            <v>100</v>
          </cell>
          <cell r="J584">
            <v>294</v>
          </cell>
          <cell r="K584">
            <v>437</v>
          </cell>
          <cell r="L584">
            <v>6.2</v>
          </cell>
          <cell r="M584">
            <v>30.6</v>
          </cell>
          <cell r="N584">
            <v>5.6</v>
          </cell>
          <cell r="O584">
            <v>1.9</v>
          </cell>
          <cell r="P584">
            <v>2</v>
          </cell>
          <cell r="R584">
            <v>139</v>
          </cell>
          <cell r="S584">
            <v>0</v>
          </cell>
          <cell r="T584">
            <v>6.36</v>
          </cell>
          <cell r="U584">
            <v>2.77</v>
          </cell>
          <cell r="W584">
            <v>2.08</v>
          </cell>
          <cell r="X584">
            <v>278</v>
          </cell>
          <cell r="Y584">
            <v>0</v>
          </cell>
        </row>
        <row r="585">
          <cell r="B585" t="str">
            <v>Silo 08</v>
          </cell>
          <cell r="C585">
            <v>81459</v>
          </cell>
          <cell r="D585" t="str">
            <v>2013</v>
          </cell>
          <cell r="E585">
            <v>36.799999999999997</v>
          </cell>
          <cell r="F585">
            <v>64</v>
          </cell>
          <cell r="G585">
            <v>175</v>
          </cell>
          <cell r="H585">
            <v>35</v>
          </cell>
          <cell r="I585">
            <v>39</v>
          </cell>
          <cell r="J585">
            <v>186</v>
          </cell>
          <cell r="K585">
            <v>338</v>
          </cell>
          <cell r="L585">
            <v>2.2000000000000002</v>
          </cell>
          <cell r="M585">
            <v>10.4</v>
          </cell>
          <cell r="N585">
            <v>2.2999999999999998</v>
          </cell>
          <cell r="O585">
            <v>0.1</v>
          </cell>
          <cell r="P585">
            <v>1</v>
          </cell>
          <cell r="Q585">
            <v>0.25</v>
          </cell>
          <cell r="R585">
            <v>137</v>
          </cell>
          <cell r="S585">
            <v>11.82</v>
          </cell>
          <cell r="T585">
            <v>7.27</v>
          </cell>
          <cell r="U585">
            <v>1.46</v>
          </cell>
          <cell r="W585">
            <v>-11.68</v>
          </cell>
          <cell r="X585">
            <v>524</v>
          </cell>
          <cell r="Y585">
            <v>0</v>
          </cell>
        </row>
        <row r="586">
          <cell r="B586" t="str">
            <v>RES</v>
          </cell>
          <cell r="C586">
            <v>81460</v>
          </cell>
          <cell r="D586">
            <v>2014</v>
          </cell>
          <cell r="E586">
            <v>88.6</v>
          </cell>
          <cell r="F586">
            <v>374</v>
          </cell>
          <cell r="G586">
            <v>136</v>
          </cell>
          <cell r="H586">
            <v>17</v>
          </cell>
          <cell r="I586">
            <v>71</v>
          </cell>
          <cell r="J586">
            <v>238</v>
          </cell>
          <cell r="K586">
            <v>303</v>
          </cell>
          <cell r="L586">
            <v>14.7</v>
          </cell>
          <cell r="M586">
            <v>15.1</v>
          </cell>
          <cell r="N586">
            <v>6.9</v>
          </cell>
          <cell r="O586">
            <v>0.6</v>
          </cell>
          <cell r="P586">
            <v>4.7</v>
          </cell>
          <cell r="R586">
            <v>249</v>
          </cell>
          <cell r="S586">
            <v>0</v>
          </cell>
          <cell r="T586">
            <v>7.3</v>
          </cell>
          <cell r="W586">
            <v>20</v>
          </cell>
          <cell r="X586">
            <v>235</v>
          </cell>
          <cell r="Y586">
            <v>0</v>
          </cell>
        </row>
        <row r="587">
          <cell r="B587" t="str">
            <v>Silo 03</v>
          </cell>
          <cell r="C587">
            <v>81469</v>
          </cell>
          <cell r="D587">
            <v>2014</v>
          </cell>
          <cell r="E587">
            <v>44.4</v>
          </cell>
          <cell r="F587">
            <v>151</v>
          </cell>
          <cell r="G587">
            <v>275</v>
          </cell>
          <cell r="H587">
            <v>34</v>
          </cell>
          <cell r="I587">
            <v>104</v>
          </cell>
          <cell r="J587">
            <v>293</v>
          </cell>
          <cell r="K587">
            <v>433</v>
          </cell>
          <cell r="L587">
            <v>6.1</v>
          </cell>
          <cell r="M587">
            <v>29.8</v>
          </cell>
          <cell r="N587">
            <v>5.6</v>
          </cell>
          <cell r="O587">
            <v>1.4</v>
          </cell>
          <cell r="P587">
            <v>1.9</v>
          </cell>
          <cell r="Q587">
            <v>0.15</v>
          </cell>
          <cell r="R587">
            <v>139</v>
          </cell>
          <cell r="S587">
            <v>10.58</v>
          </cell>
          <cell r="T587">
            <v>6.37</v>
          </cell>
          <cell r="U587">
            <v>2.75</v>
          </cell>
          <cell r="W587">
            <v>1.92</v>
          </cell>
          <cell r="X587">
            <v>278</v>
          </cell>
          <cell r="Y587">
            <v>0</v>
          </cell>
        </row>
        <row r="588">
          <cell r="B588" t="str">
            <v>Silo 06</v>
          </cell>
          <cell r="C588">
            <v>81470</v>
          </cell>
          <cell r="D588" t="str">
            <v>2013</v>
          </cell>
          <cell r="E588">
            <v>36.6</v>
          </cell>
          <cell r="F588">
            <v>72</v>
          </cell>
          <cell r="G588">
            <v>174</v>
          </cell>
          <cell r="H588">
            <v>36</v>
          </cell>
          <cell r="I588">
            <v>33</v>
          </cell>
          <cell r="J588">
            <v>187</v>
          </cell>
          <cell r="K588">
            <v>339</v>
          </cell>
          <cell r="L588">
            <v>2.2000000000000002</v>
          </cell>
          <cell r="M588">
            <v>10.8</v>
          </cell>
          <cell r="N588">
            <v>2.1</v>
          </cell>
          <cell r="O588">
            <v>0.1</v>
          </cell>
          <cell r="P588">
            <v>0.9</v>
          </cell>
          <cell r="Q588">
            <v>0.25</v>
          </cell>
          <cell r="R588">
            <v>140</v>
          </cell>
          <cell r="S588">
            <v>0</v>
          </cell>
          <cell r="T588">
            <v>7.34</v>
          </cell>
          <cell r="U588">
            <v>1.46</v>
          </cell>
          <cell r="W588">
            <v>-10.88</v>
          </cell>
          <cell r="X588">
            <v>520</v>
          </cell>
          <cell r="Y588">
            <v>0</v>
          </cell>
        </row>
        <row r="589">
          <cell r="B589" t="str">
            <v>RES</v>
          </cell>
          <cell r="C589">
            <v>81471</v>
          </cell>
          <cell r="D589">
            <v>2014</v>
          </cell>
          <cell r="E589">
            <v>88.3</v>
          </cell>
          <cell r="F589">
            <v>374</v>
          </cell>
          <cell r="G589">
            <v>139</v>
          </cell>
          <cell r="H589">
            <v>20</v>
          </cell>
          <cell r="I589">
            <v>75</v>
          </cell>
          <cell r="J589">
            <v>240</v>
          </cell>
          <cell r="K589">
            <v>296</v>
          </cell>
          <cell r="L589">
            <v>15.2</v>
          </cell>
          <cell r="M589">
            <v>15.2</v>
          </cell>
          <cell r="N589">
            <v>7</v>
          </cell>
          <cell r="O589">
            <v>0.6</v>
          </cell>
          <cell r="P589">
            <v>4.5999999999999996</v>
          </cell>
          <cell r="R589">
            <v>249</v>
          </cell>
          <cell r="S589">
            <v>0</v>
          </cell>
          <cell r="T589">
            <v>7.29</v>
          </cell>
          <cell r="W589">
            <v>20</v>
          </cell>
          <cell r="X589">
            <v>235</v>
          </cell>
          <cell r="Y589">
            <v>0</v>
          </cell>
        </row>
        <row r="590">
          <cell r="B590" t="str">
            <v>WGB 40/44/11/3/1,5/0,5</v>
          </cell>
          <cell r="C590">
            <v>81472</v>
          </cell>
          <cell r="D590">
            <v>2015</v>
          </cell>
          <cell r="E590">
            <v>89.4</v>
          </cell>
          <cell r="F590">
            <v>138</v>
          </cell>
          <cell r="G590">
            <v>37</v>
          </cell>
          <cell r="H590">
            <v>20</v>
          </cell>
          <cell r="I590">
            <v>95</v>
          </cell>
          <cell r="J590">
            <v>55</v>
          </cell>
          <cell r="K590">
            <v>135</v>
          </cell>
          <cell r="L590">
            <v>5.0999999999999996</v>
          </cell>
          <cell r="M590">
            <v>7.9</v>
          </cell>
          <cell r="N590">
            <v>17.100000000000001</v>
          </cell>
          <cell r="O590">
            <v>5.5</v>
          </cell>
          <cell r="P590">
            <v>3.6</v>
          </cell>
          <cell r="Q590">
            <v>0.21</v>
          </cell>
          <cell r="R590">
            <v>160</v>
          </cell>
          <cell r="S590">
            <v>12.43</v>
          </cell>
          <cell r="T590">
            <v>7.9</v>
          </cell>
          <cell r="W590">
            <v>-3.52</v>
          </cell>
          <cell r="X590">
            <v>612</v>
          </cell>
          <cell r="Y590">
            <v>0</v>
          </cell>
        </row>
        <row r="591">
          <cell r="B591" t="str">
            <v>WGB 40/43/11/4/1,5/0,5</v>
          </cell>
          <cell r="C591">
            <v>81472</v>
          </cell>
          <cell r="D591" t="str">
            <v>2015</v>
          </cell>
          <cell r="E591">
            <v>89.4</v>
          </cell>
          <cell r="F591">
            <v>138</v>
          </cell>
          <cell r="G591">
            <v>37</v>
          </cell>
          <cell r="H591">
            <v>20</v>
          </cell>
          <cell r="I591">
            <v>95</v>
          </cell>
          <cell r="J591">
            <v>55</v>
          </cell>
          <cell r="K591">
            <v>135</v>
          </cell>
          <cell r="L591">
            <v>5.0999999999999996</v>
          </cell>
          <cell r="M591">
            <v>7.9</v>
          </cell>
          <cell r="N591">
            <v>17.100000000000001</v>
          </cell>
          <cell r="O591">
            <v>5.5</v>
          </cell>
          <cell r="P591">
            <v>3.6</v>
          </cell>
          <cell r="Q591">
            <v>0.21</v>
          </cell>
          <cell r="R591">
            <v>160</v>
          </cell>
          <cell r="S591">
            <v>12.43</v>
          </cell>
          <cell r="T591">
            <v>7.9</v>
          </cell>
          <cell r="W591">
            <v>-3.52</v>
          </cell>
          <cell r="X591">
            <v>612</v>
          </cell>
          <cell r="Y591">
            <v>0</v>
          </cell>
        </row>
        <row r="592">
          <cell r="B592" t="str">
            <v>Stroh, Gerste</v>
          </cell>
          <cell r="C592">
            <v>81473</v>
          </cell>
          <cell r="D592">
            <v>2014</v>
          </cell>
          <cell r="E592">
            <v>93</v>
          </cell>
          <cell r="F592">
            <v>28</v>
          </cell>
          <cell r="G592">
            <v>467</v>
          </cell>
          <cell r="H592">
            <v>16</v>
          </cell>
          <cell r="I592">
            <v>48</v>
          </cell>
          <cell r="J592">
            <v>511</v>
          </cell>
          <cell r="K592">
            <v>794</v>
          </cell>
          <cell r="L592">
            <v>0.8</v>
          </cell>
          <cell r="M592">
            <v>11.9</v>
          </cell>
          <cell r="N592">
            <v>3</v>
          </cell>
          <cell r="O592">
            <v>0.2</v>
          </cell>
          <cell r="P592">
            <v>0.4</v>
          </cell>
          <cell r="R592">
            <v>74</v>
          </cell>
          <cell r="S592">
            <v>6.89</v>
          </cell>
          <cell r="T592">
            <v>3.81</v>
          </cell>
          <cell r="U592">
            <v>4.3</v>
          </cell>
          <cell r="W592">
            <v>-7.36</v>
          </cell>
          <cell r="X592">
            <v>114</v>
          </cell>
          <cell r="Y592">
            <v>0</v>
          </cell>
        </row>
        <row r="593">
          <cell r="B593" t="str">
            <v>Heu, 2. S.</v>
          </cell>
          <cell r="C593">
            <v>81474</v>
          </cell>
          <cell r="D593">
            <v>2014</v>
          </cell>
          <cell r="E593">
            <v>89.9</v>
          </cell>
          <cell r="F593">
            <v>114</v>
          </cell>
          <cell r="G593">
            <v>268</v>
          </cell>
          <cell r="H593">
            <v>27</v>
          </cell>
          <cell r="I593">
            <v>72</v>
          </cell>
          <cell r="J593">
            <v>286</v>
          </cell>
          <cell r="K593">
            <v>482</v>
          </cell>
          <cell r="L593">
            <v>4.8</v>
          </cell>
          <cell r="M593">
            <v>19.2</v>
          </cell>
          <cell r="N593">
            <v>4.9000000000000004</v>
          </cell>
          <cell r="O593">
            <v>2.9</v>
          </cell>
          <cell r="P593">
            <v>1.9</v>
          </cell>
          <cell r="R593">
            <v>136</v>
          </cell>
          <cell r="S593">
            <v>0</v>
          </cell>
          <cell r="T593">
            <v>6.24</v>
          </cell>
          <cell r="U593">
            <v>3.04</v>
          </cell>
          <cell r="W593">
            <v>-3.52</v>
          </cell>
          <cell r="X593">
            <v>305</v>
          </cell>
          <cell r="Y593">
            <v>0</v>
          </cell>
        </row>
        <row r="594">
          <cell r="B594" t="str">
            <v>RES</v>
          </cell>
          <cell r="C594">
            <v>81479</v>
          </cell>
          <cell r="D594">
            <v>2014</v>
          </cell>
          <cell r="E594">
            <v>88.4</v>
          </cell>
          <cell r="F594">
            <v>372</v>
          </cell>
          <cell r="G594">
            <v>140</v>
          </cell>
          <cell r="H594">
            <v>20</v>
          </cell>
          <cell r="I594">
            <v>72</v>
          </cell>
          <cell r="J594">
            <v>237</v>
          </cell>
          <cell r="K594">
            <v>293</v>
          </cell>
          <cell r="L594">
            <v>15.3</v>
          </cell>
          <cell r="M594">
            <v>14.6</v>
          </cell>
          <cell r="N594">
            <v>7.5</v>
          </cell>
          <cell r="O594">
            <v>0.6</v>
          </cell>
          <cell r="P594">
            <v>5</v>
          </cell>
          <cell r="R594">
            <v>248</v>
          </cell>
          <cell r="S594">
            <v>0</v>
          </cell>
          <cell r="T594">
            <v>7.31</v>
          </cell>
          <cell r="W594">
            <v>19.84</v>
          </cell>
          <cell r="X594">
            <v>243</v>
          </cell>
          <cell r="Y594">
            <v>0</v>
          </cell>
        </row>
        <row r="595">
          <cell r="B595" t="str">
            <v>RES</v>
          </cell>
          <cell r="C595">
            <v>81480</v>
          </cell>
          <cell r="D595">
            <v>2015</v>
          </cell>
          <cell r="E595">
            <v>88.6</v>
          </cell>
          <cell r="F595">
            <v>366</v>
          </cell>
          <cell r="G595">
            <v>138</v>
          </cell>
          <cell r="H595">
            <v>22</v>
          </cell>
          <cell r="I595">
            <v>72</v>
          </cell>
          <cell r="J595">
            <v>235</v>
          </cell>
          <cell r="K595">
            <v>292</v>
          </cell>
          <cell r="L595">
            <v>15.3</v>
          </cell>
          <cell r="M595">
            <v>14.1</v>
          </cell>
          <cell r="N595">
            <v>8.1999999999999993</v>
          </cell>
          <cell r="O595">
            <v>0.6</v>
          </cell>
          <cell r="P595">
            <v>5</v>
          </cell>
          <cell r="R595">
            <v>246</v>
          </cell>
          <cell r="S595">
            <v>11.98</v>
          </cell>
          <cell r="T595">
            <v>7.32</v>
          </cell>
          <cell r="W595">
            <v>19.2</v>
          </cell>
          <cell r="X595">
            <v>248</v>
          </cell>
          <cell r="Y595">
            <v>0</v>
          </cell>
        </row>
        <row r="596">
          <cell r="B596" t="str">
            <v>Silo 06</v>
          </cell>
          <cell r="C596">
            <v>81485</v>
          </cell>
          <cell r="D596">
            <v>2013</v>
          </cell>
          <cell r="E596">
            <v>36.9</v>
          </cell>
          <cell r="F596">
            <v>71</v>
          </cell>
          <cell r="G596">
            <v>168</v>
          </cell>
          <cell r="H596">
            <v>34</v>
          </cell>
          <cell r="I596">
            <v>35</v>
          </cell>
          <cell r="J596">
            <v>183</v>
          </cell>
          <cell r="K596">
            <v>332</v>
          </cell>
          <cell r="L596">
            <v>2.2000000000000002</v>
          </cell>
          <cell r="M596">
            <v>9.8000000000000007</v>
          </cell>
          <cell r="N596">
            <v>2.6</v>
          </cell>
          <cell r="O596">
            <v>0.3</v>
          </cell>
          <cell r="P596">
            <v>0.1</v>
          </cell>
          <cell r="Q596">
            <v>0.25</v>
          </cell>
          <cell r="R596">
            <v>140</v>
          </cell>
          <cell r="S596">
            <v>11.89</v>
          </cell>
          <cell r="T596">
            <v>7.31</v>
          </cell>
          <cell r="U596">
            <v>1.42</v>
          </cell>
          <cell r="W596">
            <v>-11.04</v>
          </cell>
          <cell r="X596">
            <v>528</v>
          </cell>
          <cell r="Y596">
            <v>0</v>
          </cell>
        </row>
        <row r="597">
          <cell r="B597" t="str">
            <v>Silo 09</v>
          </cell>
          <cell r="C597">
            <v>81486</v>
          </cell>
          <cell r="D597">
            <v>2014</v>
          </cell>
          <cell r="E597">
            <v>37.4</v>
          </cell>
          <cell r="F597">
            <v>160</v>
          </cell>
          <cell r="G597">
            <v>265</v>
          </cell>
          <cell r="H597">
            <v>34</v>
          </cell>
          <cell r="I597">
            <v>109</v>
          </cell>
          <cell r="J597">
            <v>297</v>
          </cell>
          <cell r="K597">
            <v>434</v>
          </cell>
          <cell r="L597">
            <v>6</v>
          </cell>
          <cell r="M597">
            <v>36.200000000000003</v>
          </cell>
          <cell r="N597">
            <v>7.5</v>
          </cell>
          <cell r="O597">
            <v>1.5</v>
          </cell>
          <cell r="P597">
            <v>2.1</v>
          </cell>
          <cell r="R597">
            <v>137</v>
          </cell>
          <cell r="S597">
            <v>0</v>
          </cell>
          <cell r="T597">
            <v>6.14</v>
          </cell>
          <cell r="U597">
            <v>2.76</v>
          </cell>
          <cell r="W597">
            <v>3.68</v>
          </cell>
          <cell r="X597">
            <v>263</v>
          </cell>
          <cell r="Y597">
            <v>0</v>
          </cell>
        </row>
        <row r="598">
          <cell r="B598" t="str">
            <v>WGB 40/43/11/4/1,5/0,5</v>
          </cell>
          <cell r="C598">
            <v>81487</v>
          </cell>
          <cell r="D598">
            <v>2015</v>
          </cell>
          <cell r="E598">
            <v>89.7</v>
          </cell>
          <cell r="F598">
            <v>143</v>
          </cell>
          <cell r="G598">
            <v>43</v>
          </cell>
          <cell r="H598">
            <v>26</v>
          </cell>
          <cell r="I598">
            <v>97</v>
          </cell>
          <cell r="J598">
            <v>45</v>
          </cell>
          <cell r="K598">
            <v>129</v>
          </cell>
          <cell r="L598">
            <v>5.4</v>
          </cell>
          <cell r="M598">
            <v>7.4</v>
          </cell>
          <cell r="N598">
            <v>15.7</v>
          </cell>
          <cell r="O598">
            <v>5.7</v>
          </cell>
          <cell r="P598">
            <v>4.9000000000000004</v>
          </cell>
          <cell r="R598">
            <v>152</v>
          </cell>
          <cell r="S598">
            <v>0</v>
          </cell>
          <cell r="T598">
            <v>7.19</v>
          </cell>
          <cell r="W598">
            <v>-1.44</v>
          </cell>
          <cell r="X598">
            <v>605</v>
          </cell>
          <cell r="Y598">
            <v>0</v>
          </cell>
        </row>
        <row r="599">
          <cell r="B599" t="str">
            <v>WGB 40/43/11/4/1,5/0,5</v>
          </cell>
          <cell r="C599">
            <v>81487</v>
          </cell>
          <cell r="D599" t="str">
            <v>2015</v>
          </cell>
          <cell r="E599">
            <v>89.7</v>
          </cell>
          <cell r="F599">
            <v>143</v>
          </cell>
          <cell r="G599">
            <v>43</v>
          </cell>
          <cell r="H599">
            <v>26</v>
          </cell>
          <cell r="I599">
            <v>97</v>
          </cell>
          <cell r="J599">
            <v>45</v>
          </cell>
          <cell r="K599">
            <v>129</v>
          </cell>
          <cell r="L599">
            <v>5.4</v>
          </cell>
          <cell r="M599">
            <v>7.4</v>
          </cell>
          <cell r="N599">
            <v>15.7</v>
          </cell>
          <cell r="O599">
            <v>5.7</v>
          </cell>
          <cell r="P599">
            <v>4.9000000000000004</v>
          </cell>
          <cell r="Q599">
            <v>0.21</v>
          </cell>
          <cell r="R599">
            <v>164</v>
          </cell>
          <cell r="S599">
            <v>12.68</v>
          </cell>
          <cell r="T599">
            <v>8.09</v>
          </cell>
          <cell r="W599">
            <v>-3.36</v>
          </cell>
          <cell r="X599">
            <v>605</v>
          </cell>
          <cell r="Y599">
            <v>0</v>
          </cell>
        </row>
        <row r="600">
          <cell r="B600" t="str">
            <v>Silo 07</v>
          </cell>
          <cell r="C600">
            <v>81488</v>
          </cell>
          <cell r="D600">
            <v>2014</v>
          </cell>
          <cell r="E600">
            <v>30.9</v>
          </cell>
          <cell r="F600">
            <v>193</v>
          </cell>
          <cell r="G600">
            <v>235</v>
          </cell>
          <cell r="H600">
            <v>41</v>
          </cell>
          <cell r="I600">
            <v>100</v>
          </cell>
          <cell r="J600">
            <v>268</v>
          </cell>
          <cell r="K600">
            <v>393</v>
          </cell>
          <cell r="L600">
            <v>7.3</v>
          </cell>
          <cell r="M600">
            <v>21.9</v>
          </cell>
          <cell r="N600">
            <v>7.4</v>
          </cell>
          <cell r="O600">
            <v>4.3</v>
          </cell>
          <cell r="P600">
            <v>2.8</v>
          </cell>
          <cell r="Q600">
            <v>0.15</v>
          </cell>
          <cell r="R600">
            <v>147</v>
          </cell>
          <cell r="S600">
            <v>10.74</v>
          </cell>
          <cell r="T600">
            <v>6.48</v>
          </cell>
          <cell r="U600">
            <v>2.5099999999999998</v>
          </cell>
          <cell r="W600">
            <v>7.36</v>
          </cell>
          <cell r="X600">
            <v>273</v>
          </cell>
          <cell r="Y600">
            <v>0</v>
          </cell>
        </row>
        <row r="601">
          <cell r="B601" t="str">
            <v>Silo 06</v>
          </cell>
          <cell r="C601">
            <v>81501</v>
          </cell>
          <cell r="D601" t="str">
            <v>2013</v>
          </cell>
          <cell r="E601">
            <v>36.799999999999997</v>
          </cell>
          <cell r="F601">
            <v>76</v>
          </cell>
          <cell r="G601">
            <v>166</v>
          </cell>
          <cell r="H601">
            <v>41</v>
          </cell>
          <cell r="I601">
            <v>33</v>
          </cell>
          <cell r="J601">
            <v>183</v>
          </cell>
          <cell r="K601">
            <v>329</v>
          </cell>
          <cell r="L601">
            <v>2.4</v>
          </cell>
          <cell r="M601">
            <v>9</v>
          </cell>
          <cell r="N601">
            <v>2.2999999999999998</v>
          </cell>
          <cell r="O601">
            <v>0.1</v>
          </cell>
          <cell r="P601">
            <v>1.1000000000000001</v>
          </cell>
          <cell r="Q601">
            <v>0.25</v>
          </cell>
          <cell r="R601">
            <v>143</v>
          </cell>
          <cell r="S601">
            <v>12.05</v>
          </cell>
          <cell r="T601">
            <v>7.44</v>
          </cell>
          <cell r="U601">
            <v>1.4</v>
          </cell>
          <cell r="W601">
            <v>-10.72</v>
          </cell>
          <cell r="X601">
            <v>521</v>
          </cell>
          <cell r="Y601">
            <v>0</v>
          </cell>
        </row>
        <row r="602">
          <cell r="B602" t="str">
            <v>Silo 09</v>
          </cell>
          <cell r="C602">
            <v>81502</v>
          </cell>
          <cell r="D602">
            <v>2014</v>
          </cell>
          <cell r="E602">
            <v>35.1</v>
          </cell>
          <cell r="F602">
            <v>169</v>
          </cell>
          <cell r="G602">
            <v>255</v>
          </cell>
          <cell r="H602">
            <v>34</v>
          </cell>
          <cell r="I602">
            <v>101</v>
          </cell>
          <cell r="J602">
            <v>288</v>
          </cell>
          <cell r="K602">
            <v>418</v>
          </cell>
          <cell r="L602">
            <v>5.7</v>
          </cell>
          <cell r="M602">
            <v>30.6</v>
          </cell>
          <cell r="N602">
            <v>6.2</v>
          </cell>
          <cell r="O602">
            <v>1</v>
          </cell>
          <cell r="P602">
            <v>2.1</v>
          </cell>
          <cell r="R602">
            <v>139</v>
          </cell>
          <cell r="S602">
            <v>0</v>
          </cell>
          <cell r="T602">
            <v>6.22</v>
          </cell>
          <cell r="U602">
            <v>2.66</v>
          </cell>
          <cell r="W602">
            <v>4.8</v>
          </cell>
          <cell r="X602">
            <v>278</v>
          </cell>
          <cell r="Y602">
            <v>0</v>
          </cell>
        </row>
        <row r="603">
          <cell r="B603" t="str">
            <v>RES</v>
          </cell>
          <cell r="C603">
            <v>81503</v>
          </cell>
          <cell r="D603">
            <v>2015</v>
          </cell>
          <cell r="E603">
            <v>88.5</v>
          </cell>
          <cell r="F603">
            <v>370</v>
          </cell>
          <cell r="G603">
            <v>146</v>
          </cell>
          <cell r="H603">
            <v>19</v>
          </cell>
          <cell r="I603">
            <v>69</v>
          </cell>
          <cell r="J603">
            <v>230</v>
          </cell>
          <cell r="K603">
            <v>287</v>
          </cell>
          <cell r="L603">
            <v>15.3</v>
          </cell>
          <cell r="M603">
            <v>13.8</v>
          </cell>
          <cell r="N603">
            <v>7.5</v>
          </cell>
          <cell r="O603">
            <v>0.6</v>
          </cell>
          <cell r="P603">
            <v>4.5999999999999996</v>
          </cell>
          <cell r="R603">
            <v>248</v>
          </cell>
          <cell r="S603">
            <v>0</v>
          </cell>
          <cell r="T603">
            <v>7.32</v>
          </cell>
          <cell r="U603">
            <v>0.36</v>
          </cell>
          <cell r="W603">
            <v>19.52</v>
          </cell>
          <cell r="X603">
            <v>255</v>
          </cell>
          <cell r="Y603">
            <v>0</v>
          </cell>
        </row>
        <row r="604">
          <cell r="B604" t="str">
            <v>WGB 40/43/11/4/1,5/0,5</v>
          </cell>
          <cell r="C604">
            <v>81504</v>
          </cell>
          <cell r="D604" t="str">
            <v>2015</v>
          </cell>
          <cell r="E604">
            <v>89.6</v>
          </cell>
          <cell r="F604">
            <v>138</v>
          </cell>
          <cell r="G604">
            <v>65</v>
          </cell>
          <cell r="H604">
            <v>21</v>
          </cell>
          <cell r="I604">
            <v>102</v>
          </cell>
          <cell r="J604">
            <v>75</v>
          </cell>
          <cell r="K604">
            <v>149</v>
          </cell>
          <cell r="L604">
            <v>4.9000000000000004</v>
          </cell>
          <cell r="M604">
            <v>7.9</v>
          </cell>
          <cell r="N604">
            <v>16.899999999999999</v>
          </cell>
          <cell r="O604">
            <v>5.9</v>
          </cell>
          <cell r="P604">
            <v>4.7</v>
          </cell>
          <cell r="Q604">
            <v>0.21</v>
          </cell>
          <cell r="R604">
            <v>158</v>
          </cell>
          <cell r="S604">
            <v>12.2</v>
          </cell>
          <cell r="T604">
            <v>7.7</v>
          </cell>
          <cell r="W604">
            <v>-3.2</v>
          </cell>
          <cell r="X604">
            <v>590</v>
          </cell>
          <cell r="Y604">
            <v>0</v>
          </cell>
        </row>
        <row r="605">
          <cell r="B605" t="str">
            <v>Stroh, Gerste</v>
          </cell>
          <cell r="C605">
            <v>81505</v>
          </cell>
          <cell r="D605">
            <v>2014</v>
          </cell>
          <cell r="E605">
            <v>93.4</v>
          </cell>
          <cell r="F605">
            <v>41</v>
          </cell>
          <cell r="G605">
            <v>461</v>
          </cell>
          <cell r="H605">
            <v>14</v>
          </cell>
          <cell r="I605">
            <v>52</v>
          </cell>
          <cell r="J605">
            <v>512</v>
          </cell>
          <cell r="K605">
            <v>775</v>
          </cell>
          <cell r="L605">
            <v>0.9</v>
          </cell>
          <cell r="M605">
            <v>13.8</v>
          </cell>
          <cell r="N605">
            <v>2.9</v>
          </cell>
          <cell r="O605">
            <v>0.4</v>
          </cell>
          <cell r="P605">
            <v>0.6</v>
          </cell>
          <cell r="R605">
            <v>80</v>
          </cell>
          <cell r="S605">
            <v>0</v>
          </cell>
          <cell r="T605">
            <v>3.81</v>
          </cell>
          <cell r="W605">
            <v>-6.24</v>
          </cell>
          <cell r="X605">
            <v>118</v>
          </cell>
          <cell r="Y605">
            <v>0</v>
          </cell>
        </row>
        <row r="606">
          <cell r="B606" t="str">
            <v>RES</v>
          </cell>
          <cell r="C606">
            <v>81510</v>
          </cell>
          <cell r="D606">
            <v>2015</v>
          </cell>
          <cell r="E606">
            <v>87.7</v>
          </cell>
          <cell r="F606">
            <v>388</v>
          </cell>
          <cell r="G606">
            <v>140</v>
          </cell>
          <cell r="H606">
            <v>18</v>
          </cell>
          <cell r="I606">
            <v>73</v>
          </cell>
          <cell r="J606">
            <v>230</v>
          </cell>
          <cell r="K606">
            <v>291</v>
          </cell>
          <cell r="L606">
            <v>15.8</v>
          </cell>
          <cell r="M606">
            <v>14.8</v>
          </cell>
          <cell r="N606">
            <v>7</v>
          </cell>
          <cell r="O606">
            <v>0.6</v>
          </cell>
          <cell r="P606">
            <v>4.7</v>
          </cell>
          <cell r="R606">
            <v>254</v>
          </cell>
          <cell r="S606">
            <v>0</v>
          </cell>
          <cell r="T606">
            <v>7.31</v>
          </cell>
          <cell r="W606">
            <v>21.44</v>
          </cell>
          <cell r="X606">
            <v>230</v>
          </cell>
          <cell r="Y606">
            <v>0</v>
          </cell>
        </row>
        <row r="607">
          <cell r="B607" t="str">
            <v>Silo 05</v>
          </cell>
          <cell r="C607">
            <v>81511</v>
          </cell>
          <cell r="D607">
            <v>2014</v>
          </cell>
          <cell r="E607">
            <v>37</v>
          </cell>
          <cell r="F607">
            <v>80</v>
          </cell>
          <cell r="G607">
            <v>182</v>
          </cell>
          <cell r="H607">
            <v>42</v>
          </cell>
          <cell r="I607">
            <v>34</v>
          </cell>
          <cell r="J607">
            <v>195</v>
          </cell>
          <cell r="K607">
            <v>353</v>
          </cell>
          <cell r="L607">
            <v>2.8</v>
          </cell>
          <cell r="M607">
            <v>10.199999999999999</v>
          </cell>
          <cell r="N607">
            <v>2.6</v>
          </cell>
          <cell r="O607">
            <v>0.2</v>
          </cell>
          <cell r="P607">
            <v>1.2</v>
          </cell>
          <cell r="Q607">
            <v>0.25</v>
          </cell>
          <cell r="R607">
            <v>143</v>
          </cell>
          <cell r="S607">
            <v>0</v>
          </cell>
          <cell r="T607">
            <v>7.34</v>
          </cell>
          <cell r="U607">
            <v>1.55</v>
          </cell>
          <cell r="W607">
            <v>-10.08</v>
          </cell>
          <cell r="X607">
            <v>491</v>
          </cell>
          <cell r="Y607">
            <v>0</v>
          </cell>
        </row>
        <row r="608">
          <cell r="B608" t="str">
            <v>Silo 09</v>
          </cell>
          <cell r="C608">
            <v>81512</v>
          </cell>
          <cell r="D608">
            <v>2014</v>
          </cell>
          <cell r="E608">
            <v>38</v>
          </cell>
          <cell r="F608">
            <v>174</v>
          </cell>
          <cell r="G608">
            <v>287</v>
          </cell>
          <cell r="H608">
            <v>41</v>
          </cell>
          <cell r="I608">
            <v>122</v>
          </cell>
          <cell r="J608">
            <v>325</v>
          </cell>
          <cell r="K608">
            <v>463</v>
          </cell>
          <cell r="L608">
            <v>6.4</v>
          </cell>
          <cell r="M608">
            <v>40.4</v>
          </cell>
          <cell r="N608">
            <v>8.9</v>
          </cell>
          <cell r="O608">
            <v>0.8</v>
          </cell>
          <cell r="P608">
            <v>2.2000000000000002</v>
          </cell>
          <cell r="Q608">
            <v>0.15</v>
          </cell>
          <cell r="R608">
            <v>142</v>
          </cell>
          <cell r="S608">
            <v>0</v>
          </cell>
          <cell r="T608">
            <v>6.39</v>
          </cell>
          <cell r="U608">
            <v>2.93</v>
          </cell>
          <cell r="W608">
            <v>5.12</v>
          </cell>
          <cell r="X608">
            <v>200</v>
          </cell>
          <cell r="Y608">
            <v>0</v>
          </cell>
        </row>
        <row r="609">
          <cell r="B609" t="str">
            <v>Haferflocken</v>
          </cell>
          <cell r="C609">
            <v>81517</v>
          </cell>
          <cell r="D609">
            <v>2015</v>
          </cell>
          <cell r="E609">
            <v>89.4</v>
          </cell>
          <cell r="F609">
            <v>124</v>
          </cell>
          <cell r="G609">
            <v>16</v>
          </cell>
          <cell r="H609">
            <v>76</v>
          </cell>
          <cell r="I609">
            <v>15</v>
          </cell>
          <cell r="J609">
            <v>25</v>
          </cell>
          <cell r="K609">
            <v>60</v>
          </cell>
          <cell r="L609">
            <v>4.8</v>
          </cell>
          <cell r="M609">
            <v>4.9000000000000004</v>
          </cell>
          <cell r="N609">
            <v>1.3</v>
          </cell>
          <cell r="O609">
            <v>0.1</v>
          </cell>
          <cell r="P609">
            <v>0.9</v>
          </cell>
          <cell r="Q609">
            <v>0.15</v>
          </cell>
          <cell r="R609">
            <v>170</v>
          </cell>
          <cell r="S609">
            <v>13.79</v>
          </cell>
          <cell r="T609">
            <v>8.6999999999999993</v>
          </cell>
          <cell r="U609">
            <v>-0.2</v>
          </cell>
          <cell r="W609">
            <v>-7.36</v>
          </cell>
          <cell r="X609">
            <v>725</v>
          </cell>
          <cell r="Y609">
            <v>0</v>
          </cell>
        </row>
        <row r="610">
          <cell r="B610" t="str">
            <v>KF Kalb "Leinex"</v>
          </cell>
          <cell r="C610">
            <v>81518</v>
          </cell>
          <cell r="D610" t="str">
            <v>2015</v>
          </cell>
          <cell r="E610">
            <v>89</v>
          </cell>
          <cell r="F610">
            <v>199</v>
          </cell>
          <cell r="G610">
            <v>75</v>
          </cell>
          <cell r="H610">
            <v>48</v>
          </cell>
          <cell r="I610">
            <v>86</v>
          </cell>
          <cell r="J610">
            <v>99</v>
          </cell>
          <cell r="K610">
            <v>162</v>
          </cell>
          <cell r="L610">
            <v>11.2</v>
          </cell>
          <cell r="M610">
            <v>8.9</v>
          </cell>
          <cell r="N610">
            <v>13.8</v>
          </cell>
          <cell r="O610">
            <v>3.8</v>
          </cell>
          <cell r="P610">
            <v>4</v>
          </cell>
          <cell r="Q610">
            <v>0.32</v>
          </cell>
          <cell r="R610">
            <v>187</v>
          </cell>
          <cell r="S610">
            <v>12.48</v>
          </cell>
          <cell r="T610">
            <v>7.8</v>
          </cell>
          <cell r="W610">
            <v>1.92</v>
          </cell>
          <cell r="X610">
            <v>505</v>
          </cell>
          <cell r="Y610">
            <v>0</v>
          </cell>
        </row>
        <row r="611">
          <cell r="B611" t="str">
            <v>KF Kalb "Haferflocken"</v>
          </cell>
          <cell r="C611">
            <v>81519</v>
          </cell>
          <cell r="D611" t="str">
            <v>2015</v>
          </cell>
          <cell r="E611">
            <v>89</v>
          </cell>
          <cell r="F611">
            <v>198</v>
          </cell>
          <cell r="G611">
            <v>72</v>
          </cell>
          <cell r="H611">
            <v>36</v>
          </cell>
          <cell r="I611">
            <v>116</v>
          </cell>
          <cell r="J611">
            <v>96</v>
          </cell>
          <cell r="K611">
            <v>152</v>
          </cell>
          <cell r="L611">
            <v>12.4</v>
          </cell>
          <cell r="M611">
            <v>9.4</v>
          </cell>
          <cell r="N611">
            <v>19.2</v>
          </cell>
          <cell r="O611">
            <v>5.0999999999999996</v>
          </cell>
          <cell r="P611">
            <v>3.8</v>
          </cell>
          <cell r="Q611">
            <v>0.26</v>
          </cell>
          <cell r="R611">
            <v>178</v>
          </cell>
          <cell r="S611">
            <v>12.25</v>
          </cell>
          <cell r="T611">
            <v>7.71</v>
          </cell>
          <cell r="W611">
            <v>3.2</v>
          </cell>
          <cell r="X611">
            <v>498</v>
          </cell>
          <cell r="Y611">
            <v>0</v>
          </cell>
        </row>
        <row r="612">
          <cell r="B612" t="str">
            <v>Silo 12</v>
          </cell>
          <cell r="C612">
            <v>81524</v>
          </cell>
          <cell r="D612" t="str">
            <v>2014</v>
          </cell>
          <cell r="E612">
            <v>36.4</v>
          </cell>
          <cell r="F612">
            <v>81</v>
          </cell>
          <cell r="G612">
            <v>168</v>
          </cell>
          <cell r="H612">
            <v>41</v>
          </cell>
          <cell r="I612">
            <v>37</v>
          </cell>
          <cell r="J612">
            <v>177</v>
          </cell>
          <cell r="K612">
            <v>334</v>
          </cell>
          <cell r="L612">
            <v>3.6</v>
          </cell>
          <cell r="M612">
            <v>9</v>
          </cell>
          <cell r="N612">
            <v>3</v>
          </cell>
          <cell r="O612">
            <v>0.3</v>
          </cell>
          <cell r="P612">
            <v>1.4</v>
          </cell>
          <cell r="Q612">
            <v>0.25</v>
          </cell>
          <cell r="R612">
            <v>141</v>
          </cell>
          <cell r="S612">
            <v>11.73</v>
          </cell>
          <cell r="T612">
            <v>7.19</v>
          </cell>
          <cell r="U612">
            <v>1.43</v>
          </cell>
          <cell r="W612">
            <v>-9.6</v>
          </cell>
          <cell r="X612">
            <v>507</v>
          </cell>
          <cell r="Y612">
            <v>0</v>
          </cell>
        </row>
        <row r="613">
          <cell r="B613" t="str">
            <v>Silo 09</v>
          </cell>
          <cell r="C613">
            <v>81525</v>
          </cell>
          <cell r="D613" t="str">
            <v>2014</v>
          </cell>
          <cell r="E613">
            <v>36.1</v>
          </cell>
          <cell r="F613">
            <v>153</v>
          </cell>
          <cell r="G613">
            <v>278</v>
          </cell>
          <cell r="H613">
            <v>34</v>
          </cell>
          <cell r="I613">
            <v>102</v>
          </cell>
          <cell r="J613">
            <v>302</v>
          </cell>
          <cell r="K613">
            <v>438</v>
          </cell>
          <cell r="L613">
            <v>6.2</v>
          </cell>
          <cell r="M613">
            <v>29.9</v>
          </cell>
          <cell r="N613">
            <v>10.199999999999999</v>
          </cell>
          <cell r="O613">
            <v>1.2</v>
          </cell>
          <cell r="P613">
            <v>2.5</v>
          </cell>
          <cell r="Q613">
            <v>0.15</v>
          </cell>
          <cell r="R613">
            <v>130</v>
          </cell>
          <cell r="S613">
            <v>9.76</v>
          </cell>
          <cell r="T613">
            <v>5.78</v>
          </cell>
          <cell r="U613">
            <v>2.78</v>
          </cell>
          <cell r="W613">
            <v>3.68</v>
          </cell>
          <cell r="X613">
            <v>273</v>
          </cell>
          <cell r="Y613">
            <v>0</v>
          </cell>
        </row>
        <row r="614">
          <cell r="B614" t="str">
            <v>Silo 11</v>
          </cell>
          <cell r="C614">
            <v>81526</v>
          </cell>
          <cell r="D614" t="str">
            <v>2014</v>
          </cell>
          <cell r="E614">
            <v>36.299999999999997</v>
          </cell>
          <cell r="F614">
            <v>81</v>
          </cell>
          <cell r="G614">
            <v>165</v>
          </cell>
          <cell r="H614">
            <v>38</v>
          </cell>
          <cell r="I614">
            <v>34</v>
          </cell>
          <cell r="J614">
            <v>189</v>
          </cell>
          <cell r="K614">
            <v>312</v>
          </cell>
          <cell r="L614">
            <v>3.3</v>
          </cell>
          <cell r="M614">
            <v>9.3000000000000007</v>
          </cell>
          <cell r="N614">
            <v>2.7</v>
          </cell>
          <cell r="O614">
            <v>0.2</v>
          </cell>
          <cell r="P614">
            <v>1.1000000000000001</v>
          </cell>
          <cell r="Q614">
            <v>0.25</v>
          </cell>
          <cell r="R614">
            <v>140</v>
          </cell>
          <cell r="S614">
            <v>11.67</v>
          </cell>
          <cell r="T614">
            <v>7.14</v>
          </cell>
          <cell r="U614">
            <v>1.3</v>
          </cell>
          <cell r="W614">
            <v>-9.44</v>
          </cell>
          <cell r="X614">
            <v>535</v>
          </cell>
          <cell r="Y614">
            <v>0</v>
          </cell>
        </row>
        <row r="615">
          <cell r="B615" t="str">
            <v>RES</v>
          </cell>
          <cell r="C615">
            <v>81527</v>
          </cell>
          <cell r="D615" t="str">
            <v>2015</v>
          </cell>
          <cell r="E615">
            <v>88.8</v>
          </cell>
          <cell r="F615">
            <v>361</v>
          </cell>
          <cell r="G615">
            <v>152</v>
          </cell>
          <cell r="H615">
            <v>20</v>
          </cell>
          <cell r="I615">
            <v>67</v>
          </cell>
          <cell r="J615">
            <v>227</v>
          </cell>
          <cell r="K615">
            <v>287</v>
          </cell>
          <cell r="L615">
            <v>15.5</v>
          </cell>
          <cell r="M615">
            <v>14.1</v>
          </cell>
          <cell r="N615">
            <v>8</v>
          </cell>
          <cell r="O615">
            <v>0.6</v>
          </cell>
          <cell r="P615">
            <v>5</v>
          </cell>
          <cell r="Q615">
            <v>0.35</v>
          </cell>
          <cell r="R615">
            <v>245</v>
          </cell>
          <cell r="S615">
            <v>11.99</v>
          </cell>
          <cell r="T615">
            <v>7.32</v>
          </cell>
          <cell r="U615">
            <v>0.36</v>
          </cell>
          <cell r="W615">
            <v>18.559999999999999</v>
          </cell>
          <cell r="X615">
            <v>265</v>
          </cell>
          <cell r="Y615">
            <v>0</v>
          </cell>
        </row>
        <row r="616">
          <cell r="B616" t="str">
            <v>WGB 40/43/11/4/1,5/0,5</v>
          </cell>
          <cell r="C616">
            <v>81528</v>
          </cell>
          <cell r="D616" t="str">
            <v>2015</v>
          </cell>
          <cell r="E616">
            <v>89.9</v>
          </cell>
          <cell r="F616">
            <v>143</v>
          </cell>
          <cell r="G616">
            <v>44</v>
          </cell>
          <cell r="H616">
            <v>21</v>
          </cell>
          <cell r="I616">
            <v>78</v>
          </cell>
          <cell r="J616">
            <v>50</v>
          </cell>
          <cell r="K616">
            <v>132</v>
          </cell>
          <cell r="L616">
            <v>5.6</v>
          </cell>
          <cell r="M616">
            <v>7.7</v>
          </cell>
          <cell r="N616">
            <v>14.6</v>
          </cell>
          <cell r="O616">
            <v>4.2</v>
          </cell>
          <cell r="P616">
            <v>3.2</v>
          </cell>
          <cell r="Q616">
            <v>0.21</v>
          </cell>
          <cell r="R616">
            <v>166</v>
          </cell>
          <cell r="S616">
            <v>12.91</v>
          </cell>
          <cell r="T616">
            <v>8.25</v>
          </cell>
          <cell r="W616">
            <v>-3.68</v>
          </cell>
          <cell r="X616">
            <v>626</v>
          </cell>
          <cell r="Y616">
            <v>0</v>
          </cell>
        </row>
        <row r="617">
          <cell r="B617" t="str">
            <v>Stroh, Gerste</v>
          </cell>
          <cell r="C617">
            <v>81529</v>
          </cell>
          <cell r="D617" t="str">
            <v>2014</v>
          </cell>
          <cell r="E617">
            <v>91.3</v>
          </cell>
          <cell r="F617">
            <v>23</v>
          </cell>
          <cell r="G617">
            <v>479</v>
          </cell>
          <cell r="H617">
            <v>15</v>
          </cell>
          <cell r="I617">
            <v>50</v>
          </cell>
          <cell r="J617">
            <v>527</v>
          </cell>
          <cell r="K617">
            <v>803</v>
          </cell>
          <cell r="L617">
            <v>0.8</v>
          </cell>
          <cell r="M617">
            <v>13.3</v>
          </cell>
          <cell r="N617">
            <v>2.7</v>
          </cell>
          <cell r="O617">
            <v>0.3</v>
          </cell>
          <cell r="P617">
            <v>0.5</v>
          </cell>
          <cell r="Q617">
            <v>0.45</v>
          </cell>
          <cell r="R617">
            <v>71</v>
          </cell>
          <cell r="S617">
            <v>6.85</v>
          </cell>
          <cell r="T617">
            <v>3.79</v>
          </cell>
          <cell r="W617">
            <v>-7.68</v>
          </cell>
          <cell r="X617">
            <v>109</v>
          </cell>
          <cell r="Y617">
            <v>0</v>
          </cell>
        </row>
        <row r="618">
          <cell r="B618" t="str">
            <v>Heu, 2. S.</v>
          </cell>
          <cell r="C618">
            <v>81530</v>
          </cell>
          <cell r="D618" t="str">
            <v>2014</v>
          </cell>
          <cell r="E618">
            <v>91.7</v>
          </cell>
          <cell r="F618">
            <v>107</v>
          </cell>
          <cell r="G618">
            <v>277</v>
          </cell>
          <cell r="H618">
            <v>27</v>
          </cell>
          <cell r="I618">
            <v>82</v>
          </cell>
          <cell r="J618">
            <v>301</v>
          </cell>
          <cell r="K618">
            <v>492</v>
          </cell>
          <cell r="L618">
            <v>4.7</v>
          </cell>
          <cell r="M618">
            <v>10.7</v>
          </cell>
          <cell r="N618">
            <v>4.8</v>
          </cell>
          <cell r="O618">
            <v>2.1</v>
          </cell>
          <cell r="P618">
            <v>1.7</v>
          </cell>
          <cell r="Q618">
            <v>0.25</v>
          </cell>
          <cell r="R618">
            <v>132</v>
          </cell>
          <cell r="S618">
            <v>10.199999999999999</v>
          </cell>
          <cell r="T618">
            <v>6.07</v>
          </cell>
          <cell r="U618">
            <v>3.1</v>
          </cell>
          <cell r="W618">
            <v>-4</v>
          </cell>
          <cell r="X618">
            <v>292</v>
          </cell>
          <cell r="Y618">
            <v>0</v>
          </cell>
        </row>
        <row r="619">
          <cell r="B619" t="str">
            <v>Heu, 2. S.</v>
          </cell>
          <cell r="C619">
            <v>81530</v>
          </cell>
          <cell r="D619" t="str">
            <v>2014</v>
          </cell>
          <cell r="E619">
            <v>91.5</v>
          </cell>
          <cell r="F619">
            <v>107</v>
          </cell>
          <cell r="G619">
            <v>277</v>
          </cell>
          <cell r="H619">
            <v>27</v>
          </cell>
          <cell r="I619">
            <v>82</v>
          </cell>
          <cell r="J619">
            <v>301</v>
          </cell>
          <cell r="K619">
            <v>492</v>
          </cell>
          <cell r="L619">
            <v>4.7</v>
          </cell>
          <cell r="M619">
            <v>21</v>
          </cell>
          <cell r="N619">
            <v>4.8</v>
          </cell>
          <cell r="O619">
            <v>2.1</v>
          </cell>
          <cell r="P619">
            <v>1.7</v>
          </cell>
          <cell r="Q619">
            <v>0.25</v>
          </cell>
          <cell r="R619">
            <v>132</v>
          </cell>
          <cell r="S619">
            <v>10.199999999999999</v>
          </cell>
          <cell r="T619">
            <v>6.07</v>
          </cell>
          <cell r="U619">
            <v>3.1</v>
          </cell>
          <cell r="V619">
            <v>60</v>
          </cell>
          <cell r="W619">
            <v>-4</v>
          </cell>
          <cell r="X619">
            <v>292</v>
          </cell>
          <cell r="Y619">
            <v>0</v>
          </cell>
        </row>
        <row r="620">
          <cell r="B620" t="str">
            <v>Silo 05</v>
          </cell>
          <cell r="C620">
            <v>81539</v>
          </cell>
          <cell r="D620" t="str">
            <v>2014</v>
          </cell>
          <cell r="E620">
            <v>35.700000000000003</v>
          </cell>
          <cell r="F620">
            <v>89</v>
          </cell>
          <cell r="G620">
            <v>174</v>
          </cell>
          <cell r="H620">
            <v>34</v>
          </cell>
          <cell r="I620">
            <v>45</v>
          </cell>
          <cell r="J620">
            <v>180</v>
          </cell>
          <cell r="K620">
            <v>333</v>
          </cell>
          <cell r="L620">
            <v>3.9</v>
          </cell>
          <cell r="M620">
            <v>13.7</v>
          </cell>
          <cell r="N620">
            <v>3.3</v>
          </cell>
          <cell r="O620">
            <v>0.1</v>
          </cell>
          <cell r="P620">
            <v>1.5</v>
          </cell>
          <cell r="Q620">
            <v>0.25</v>
          </cell>
          <cell r="R620">
            <v>140</v>
          </cell>
          <cell r="S620">
            <v>11.44</v>
          </cell>
          <cell r="T620">
            <v>6.99</v>
          </cell>
          <cell r="U620">
            <v>1.43</v>
          </cell>
          <cell r="W620">
            <v>-8.16</v>
          </cell>
          <cell r="X620">
            <v>499</v>
          </cell>
          <cell r="Y620">
            <v>0</v>
          </cell>
        </row>
        <row r="621">
          <cell r="B621" t="str">
            <v>Silo 09</v>
          </cell>
          <cell r="C621">
            <v>81540</v>
          </cell>
          <cell r="D621" t="str">
            <v>2014</v>
          </cell>
          <cell r="E621">
            <v>36</v>
          </cell>
          <cell r="F621">
            <v>129</v>
          </cell>
          <cell r="G621">
            <v>279</v>
          </cell>
          <cell r="H621">
            <v>37</v>
          </cell>
          <cell r="I621">
            <v>85</v>
          </cell>
          <cell r="J621">
            <v>296</v>
          </cell>
          <cell r="K621">
            <v>453</v>
          </cell>
          <cell r="L621">
            <v>4.5999999999999996</v>
          </cell>
          <cell r="M621">
            <v>27.5</v>
          </cell>
          <cell r="N621">
            <v>5.2</v>
          </cell>
          <cell r="O621">
            <v>1.1000000000000001</v>
          </cell>
          <cell r="P621">
            <v>1.8</v>
          </cell>
          <cell r="Q621">
            <v>0.15</v>
          </cell>
          <cell r="R621">
            <v>135</v>
          </cell>
          <cell r="S621">
            <v>10.54</v>
          </cell>
          <cell r="T621">
            <v>6.32</v>
          </cell>
          <cell r="U621">
            <v>2.87</v>
          </cell>
          <cell r="W621">
            <v>-0.96</v>
          </cell>
          <cell r="X621">
            <v>296</v>
          </cell>
          <cell r="Y621">
            <v>0</v>
          </cell>
        </row>
        <row r="622">
          <cell r="B622" t="str">
            <v>RES</v>
          </cell>
          <cell r="C622">
            <v>81545</v>
          </cell>
          <cell r="D622">
            <v>2015</v>
          </cell>
          <cell r="E622">
            <v>88.1</v>
          </cell>
          <cell r="F622">
            <v>384</v>
          </cell>
          <cell r="G622">
            <v>150</v>
          </cell>
          <cell r="H622">
            <v>17</v>
          </cell>
          <cell r="I622">
            <v>72</v>
          </cell>
          <cell r="J622">
            <v>228</v>
          </cell>
          <cell r="K622">
            <v>286</v>
          </cell>
          <cell r="L622">
            <v>16.5</v>
          </cell>
          <cell r="M622">
            <v>16.100000000000001</v>
          </cell>
          <cell r="N622">
            <v>7.6</v>
          </cell>
          <cell r="O622">
            <v>0.6</v>
          </cell>
          <cell r="P622">
            <v>4.9000000000000004</v>
          </cell>
          <cell r="Q622">
            <v>0.35</v>
          </cell>
          <cell r="R622">
            <v>252</v>
          </cell>
          <cell r="S622">
            <v>11.95</v>
          </cell>
          <cell r="T622">
            <v>7.29</v>
          </cell>
          <cell r="U622">
            <v>0.36</v>
          </cell>
          <cell r="W622">
            <v>21.12</v>
          </cell>
          <cell r="X622">
            <v>241</v>
          </cell>
          <cell r="Y622">
            <v>0</v>
          </cell>
        </row>
        <row r="623">
          <cell r="B623" t="str">
            <v>WGB 40/43/11/4/1,5/0,5</v>
          </cell>
          <cell r="C623">
            <v>81546</v>
          </cell>
          <cell r="D623" t="str">
            <v>2015</v>
          </cell>
          <cell r="E623">
            <v>89.6</v>
          </cell>
          <cell r="F623">
            <v>150</v>
          </cell>
          <cell r="G623">
            <v>40</v>
          </cell>
          <cell r="H623">
            <v>23</v>
          </cell>
          <cell r="I623">
            <v>87</v>
          </cell>
          <cell r="J623">
            <v>41</v>
          </cell>
          <cell r="K623">
            <v>117</v>
          </cell>
          <cell r="L623">
            <v>5.7</v>
          </cell>
          <cell r="M623">
            <v>8.8000000000000007</v>
          </cell>
          <cell r="N623">
            <v>14.6</v>
          </cell>
          <cell r="O623">
            <v>4.0999999999999996</v>
          </cell>
          <cell r="P623">
            <v>3.3</v>
          </cell>
          <cell r="Q623">
            <v>0.21</v>
          </cell>
          <cell r="R623">
            <v>168</v>
          </cell>
          <cell r="S623">
            <v>12.96</v>
          </cell>
          <cell r="T623">
            <v>8.3000000000000007</v>
          </cell>
          <cell r="W623">
            <v>-2.88</v>
          </cell>
          <cell r="X623">
            <v>623</v>
          </cell>
          <cell r="Y623">
            <v>0</v>
          </cell>
        </row>
        <row r="624">
          <cell r="B624" t="str">
            <v>Stroh, Gerste</v>
          </cell>
          <cell r="C624">
            <v>81547</v>
          </cell>
          <cell r="D624" t="str">
            <v>2014</v>
          </cell>
          <cell r="E624">
            <v>91.7</v>
          </cell>
          <cell r="F624">
            <v>35</v>
          </cell>
          <cell r="G624">
            <v>486</v>
          </cell>
          <cell r="H624">
            <v>16</v>
          </cell>
          <cell r="I624">
            <v>54</v>
          </cell>
          <cell r="J624">
            <v>527</v>
          </cell>
          <cell r="K624">
            <v>797</v>
          </cell>
          <cell r="L624">
            <v>0.7</v>
          </cell>
          <cell r="M624">
            <v>17.7</v>
          </cell>
          <cell r="N624">
            <v>3.5</v>
          </cell>
          <cell r="O624">
            <v>0.5</v>
          </cell>
          <cell r="P624">
            <v>0.5</v>
          </cell>
          <cell r="Q624">
            <v>0.45</v>
          </cell>
          <cell r="R624">
            <v>76.7</v>
          </cell>
          <cell r="S624">
            <v>6.85</v>
          </cell>
          <cell r="T624">
            <v>3.78</v>
          </cell>
          <cell r="U624">
            <v>4.3</v>
          </cell>
          <cell r="W624">
            <v>-6.6720000000000006</v>
          </cell>
          <cell r="X624">
            <v>98</v>
          </cell>
          <cell r="Y624">
            <v>0</v>
          </cell>
        </row>
        <row r="625">
          <cell r="B625" t="str">
            <v>Silo 09</v>
          </cell>
          <cell r="C625">
            <v>81548</v>
          </cell>
          <cell r="D625" t="str">
            <v>2014</v>
          </cell>
          <cell r="E625">
            <v>37.200000000000003</v>
          </cell>
          <cell r="F625">
            <v>165</v>
          </cell>
          <cell r="G625">
            <v>278</v>
          </cell>
          <cell r="H625">
            <v>40</v>
          </cell>
          <cell r="I625">
            <v>107</v>
          </cell>
          <cell r="J625">
            <v>313</v>
          </cell>
          <cell r="K625">
            <v>451</v>
          </cell>
          <cell r="L625">
            <v>6</v>
          </cell>
          <cell r="M625">
            <v>31.2</v>
          </cell>
          <cell r="N625">
            <v>6.4</v>
          </cell>
          <cell r="O625">
            <v>1.1000000000000001</v>
          </cell>
          <cell r="P625">
            <v>2.2000000000000002</v>
          </cell>
          <cell r="Q625">
            <v>0.15</v>
          </cell>
          <cell r="R625">
            <v>141</v>
          </cell>
          <cell r="S625">
            <v>10.57</v>
          </cell>
          <cell r="T625">
            <v>6.37</v>
          </cell>
          <cell r="U625">
            <v>2.86</v>
          </cell>
          <cell r="V625">
            <v>71</v>
          </cell>
          <cell r="W625">
            <v>3.84</v>
          </cell>
          <cell r="X625">
            <v>237</v>
          </cell>
          <cell r="Y625">
            <v>0</v>
          </cell>
        </row>
        <row r="626">
          <cell r="B626" t="str">
            <v>Silo 05</v>
          </cell>
          <cell r="C626">
            <v>81549</v>
          </cell>
          <cell r="D626" t="str">
            <v>2014</v>
          </cell>
          <cell r="E626">
            <v>36.799999999999997</v>
          </cell>
          <cell r="F626">
            <v>77</v>
          </cell>
          <cell r="G626">
            <v>171</v>
          </cell>
          <cell r="H626">
            <v>40</v>
          </cell>
          <cell r="I626">
            <v>29</v>
          </cell>
          <cell r="J626">
            <v>193</v>
          </cell>
          <cell r="K626">
            <v>360</v>
          </cell>
          <cell r="L626">
            <v>2.9</v>
          </cell>
          <cell r="M626">
            <v>9.5</v>
          </cell>
          <cell r="N626">
            <v>2.2000000000000002</v>
          </cell>
          <cell r="O626">
            <v>0.3</v>
          </cell>
          <cell r="P626">
            <v>1</v>
          </cell>
          <cell r="Q626">
            <v>0.25</v>
          </cell>
          <cell r="R626">
            <v>142</v>
          </cell>
          <cell r="S626">
            <v>11.97</v>
          </cell>
          <cell r="T626">
            <v>7.36</v>
          </cell>
          <cell r="U626">
            <v>1.59</v>
          </cell>
          <cell r="V626">
            <v>6</v>
          </cell>
          <cell r="W626">
            <v>-10.4</v>
          </cell>
          <cell r="X626">
            <v>494</v>
          </cell>
          <cell r="Y626">
            <v>0</v>
          </cell>
        </row>
        <row r="627">
          <cell r="B627" t="str">
            <v>RES</v>
          </cell>
          <cell r="C627">
            <v>81554</v>
          </cell>
          <cell r="D627" t="str">
            <v>2015</v>
          </cell>
          <cell r="E627">
            <v>88.6</v>
          </cell>
          <cell r="F627">
            <v>381</v>
          </cell>
          <cell r="G627">
            <v>144</v>
          </cell>
          <cell r="H627">
            <v>21</v>
          </cell>
          <cell r="I627">
            <v>75</v>
          </cell>
          <cell r="J627">
            <v>228</v>
          </cell>
          <cell r="K627">
            <v>286</v>
          </cell>
          <cell r="L627">
            <v>16.3</v>
          </cell>
          <cell r="M627">
            <v>14.7</v>
          </cell>
          <cell r="N627">
            <v>7.3</v>
          </cell>
          <cell r="O627">
            <v>0.6</v>
          </cell>
          <cell r="P627">
            <v>5.3</v>
          </cell>
          <cell r="Q627">
            <v>0.35</v>
          </cell>
          <cell r="R627">
            <v>252</v>
          </cell>
          <cell r="S627">
            <v>11.96</v>
          </cell>
          <cell r="T627">
            <v>7.3</v>
          </cell>
          <cell r="U627">
            <v>0.36</v>
          </cell>
          <cell r="W627">
            <v>20.64</v>
          </cell>
          <cell r="X627">
            <v>237</v>
          </cell>
          <cell r="Y627">
            <v>0</v>
          </cell>
        </row>
        <row r="628">
          <cell r="B628" t="str">
            <v>WGB 40/43/11/4/1,5/0,5</v>
          </cell>
          <cell r="C628">
            <v>81555</v>
          </cell>
          <cell r="D628" t="str">
            <v>2015</v>
          </cell>
          <cell r="E628">
            <v>89.5</v>
          </cell>
          <cell r="F628">
            <v>139</v>
          </cell>
          <cell r="G628">
            <v>57</v>
          </cell>
          <cell r="H628">
            <v>17</v>
          </cell>
          <cell r="I628">
            <v>92</v>
          </cell>
          <cell r="J628">
            <v>59</v>
          </cell>
          <cell r="K628">
            <v>145</v>
          </cell>
          <cell r="L628">
            <v>5.4</v>
          </cell>
          <cell r="M628">
            <v>7.2</v>
          </cell>
          <cell r="N628">
            <v>15.8</v>
          </cell>
          <cell r="O628">
            <v>6.5</v>
          </cell>
          <cell r="P628">
            <v>4.5</v>
          </cell>
          <cell r="Q628">
            <v>0.21</v>
          </cell>
          <cell r="R628">
            <v>162</v>
          </cell>
          <cell r="S628">
            <v>12.53</v>
          </cell>
          <cell r="T628">
            <v>7.98</v>
          </cell>
          <cell r="W628">
            <v>-3.68</v>
          </cell>
          <cell r="X628">
            <v>607</v>
          </cell>
          <cell r="Y628">
            <v>0</v>
          </cell>
        </row>
        <row r="629">
          <cell r="B629" t="str">
            <v>Stroh, Gerste</v>
          </cell>
          <cell r="C629">
            <v>81556</v>
          </cell>
          <cell r="D629" t="str">
            <v>2014</v>
          </cell>
          <cell r="E629">
            <v>91.1</v>
          </cell>
          <cell r="F629">
            <v>27</v>
          </cell>
          <cell r="G629">
            <v>488</v>
          </cell>
          <cell r="H629">
            <v>14</v>
          </cell>
          <cell r="I629">
            <v>33</v>
          </cell>
          <cell r="J629">
            <v>533</v>
          </cell>
          <cell r="K629">
            <v>809</v>
          </cell>
          <cell r="L629">
            <v>0.5</v>
          </cell>
          <cell r="M629">
            <v>11.1</v>
          </cell>
          <cell r="N629">
            <v>2.9</v>
          </cell>
          <cell r="O629">
            <v>0.3</v>
          </cell>
          <cell r="P629">
            <v>0.4</v>
          </cell>
          <cell r="Q629">
            <v>0.45</v>
          </cell>
          <cell r="R629">
            <v>75</v>
          </cell>
          <cell r="S629">
            <v>6.97</v>
          </cell>
          <cell r="T629">
            <v>3.85</v>
          </cell>
          <cell r="U629">
            <v>4.3</v>
          </cell>
          <cell r="W629">
            <v>-7.68</v>
          </cell>
          <cell r="X629">
            <v>117</v>
          </cell>
          <cell r="Y629">
            <v>0</v>
          </cell>
        </row>
        <row r="630">
          <cell r="B630" t="str">
            <v>KF Kalb "Haferflocken"</v>
          </cell>
          <cell r="C630">
            <v>81561</v>
          </cell>
          <cell r="D630" t="str">
            <v>2015</v>
          </cell>
          <cell r="E630">
            <v>88.4</v>
          </cell>
          <cell r="F630">
            <v>193</v>
          </cell>
          <cell r="G630">
            <v>58</v>
          </cell>
          <cell r="H630">
            <v>31</v>
          </cell>
          <cell r="I630">
            <v>70</v>
          </cell>
          <cell r="J630">
            <v>81</v>
          </cell>
          <cell r="K630">
            <v>119</v>
          </cell>
          <cell r="L630">
            <v>10</v>
          </cell>
          <cell r="M630">
            <v>8.9</v>
          </cell>
          <cell r="N630">
            <v>9.6</v>
          </cell>
          <cell r="O630">
            <v>3.1</v>
          </cell>
          <cell r="P630">
            <v>2.8</v>
          </cell>
          <cell r="Q630">
            <v>0.26</v>
          </cell>
          <cell r="R630">
            <v>185</v>
          </cell>
          <cell r="S630">
            <v>13.08</v>
          </cell>
          <cell r="T630">
            <v>8.3000000000000007</v>
          </cell>
          <cell r="W630">
            <v>1.28</v>
          </cell>
          <cell r="X630">
            <v>587</v>
          </cell>
          <cell r="Y630">
            <v>0</v>
          </cell>
        </row>
        <row r="631">
          <cell r="B631" t="str">
            <v>Silo 09</v>
          </cell>
          <cell r="C631">
            <v>81563</v>
          </cell>
          <cell r="D631" t="str">
            <v>2014</v>
          </cell>
          <cell r="E631">
            <v>36.200000000000003</v>
          </cell>
          <cell r="F631">
            <v>157</v>
          </cell>
          <cell r="G631">
            <v>259</v>
          </cell>
          <cell r="H631">
            <v>35</v>
          </cell>
          <cell r="I631">
            <v>108</v>
          </cell>
          <cell r="J631">
            <v>288</v>
          </cell>
          <cell r="K631">
            <v>419</v>
          </cell>
          <cell r="L631">
            <v>5.6</v>
          </cell>
          <cell r="M631">
            <v>30.7</v>
          </cell>
          <cell r="N631">
            <v>5.9</v>
          </cell>
          <cell r="O631">
            <v>1.1000000000000001</v>
          </cell>
          <cell r="P631">
            <v>2</v>
          </cell>
          <cell r="Q631">
            <v>0.15</v>
          </cell>
          <cell r="R631">
            <v>137</v>
          </cell>
          <cell r="S631">
            <v>10.36</v>
          </cell>
          <cell r="T631">
            <v>6.22</v>
          </cell>
          <cell r="U631">
            <v>2.6</v>
          </cell>
          <cell r="W631">
            <v>3.2</v>
          </cell>
          <cell r="X631">
            <v>281</v>
          </cell>
          <cell r="Y631">
            <v>0</v>
          </cell>
        </row>
        <row r="632">
          <cell r="B632" t="str">
            <v>RES</v>
          </cell>
          <cell r="C632">
            <v>81564</v>
          </cell>
          <cell r="D632" t="str">
            <v>2015</v>
          </cell>
          <cell r="E632">
            <v>88.2</v>
          </cell>
          <cell r="F632">
            <v>386</v>
          </cell>
          <cell r="G632">
            <v>141</v>
          </cell>
          <cell r="H632">
            <v>16</v>
          </cell>
          <cell r="I632">
            <v>75</v>
          </cell>
          <cell r="J632">
            <v>229</v>
          </cell>
          <cell r="K632">
            <v>285</v>
          </cell>
          <cell r="L632">
            <v>16.600000000000001</v>
          </cell>
          <cell r="M632">
            <v>13.9</v>
          </cell>
          <cell r="N632">
            <v>7.8</v>
          </cell>
          <cell r="O632">
            <v>0.6</v>
          </cell>
          <cell r="P632">
            <v>4.8</v>
          </cell>
          <cell r="Q632">
            <v>0.35</v>
          </cell>
          <cell r="R632">
            <v>253</v>
          </cell>
          <cell r="S632">
            <v>11.91</v>
          </cell>
          <cell r="T632">
            <v>7.27</v>
          </cell>
          <cell r="U632">
            <v>0.36</v>
          </cell>
          <cell r="W632">
            <v>21.28</v>
          </cell>
          <cell r="X632">
            <v>238</v>
          </cell>
          <cell r="Y632">
            <v>0</v>
          </cell>
        </row>
        <row r="633">
          <cell r="B633" t="str">
            <v>WGB 40/43/11/4/1,5/0,5</v>
          </cell>
          <cell r="C633">
            <v>81565</v>
          </cell>
          <cell r="D633" t="str">
            <v>2015</v>
          </cell>
          <cell r="E633">
            <v>89.5</v>
          </cell>
          <cell r="F633">
            <v>139</v>
          </cell>
          <cell r="G633">
            <v>49</v>
          </cell>
          <cell r="H633">
            <v>20</v>
          </cell>
          <cell r="I633">
            <v>90</v>
          </cell>
          <cell r="J633">
            <v>52</v>
          </cell>
          <cell r="K633">
            <v>132</v>
          </cell>
          <cell r="L633">
            <v>5.3</v>
          </cell>
          <cell r="M633">
            <v>7.2</v>
          </cell>
          <cell r="N633">
            <v>16</v>
          </cell>
          <cell r="O633">
            <v>5.0999999999999996</v>
          </cell>
          <cell r="P633">
            <v>3.6</v>
          </cell>
          <cell r="Q633">
            <v>0.21</v>
          </cell>
          <cell r="R633">
            <v>163</v>
          </cell>
          <cell r="S633">
            <v>12.65</v>
          </cell>
          <cell r="T633">
            <v>8.07</v>
          </cell>
          <cell r="W633">
            <v>-3.84</v>
          </cell>
          <cell r="X633">
            <v>619</v>
          </cell>
          <cell r="Y633">
            <v>0</v>
          </cell>
        </row>
        <row r="634">
          <cell r="B634" t="str">
            <v>Stroh, Gerste</v>
          </cell>
          <cell r="C634">
            <v>81566</v>
          </cell>
          <cell r="D634" t="str">
            <v>2014</v>
          </cell>
          <cell r="E634">
            <v>92.1</v>
          </cell>
          <cell r="F634">
            <v>24</v>
          </cell>
          <cell r="G634">
            <v>479</v>
          </cell>
          <cell r="H634">
            <v>16</v>
          </cell>
          <cell r="I634">
            <v>40</v>
          </cell>
          <cell r="J634">
            <v>542</v>
          </cell>
          <cell r="K634">
            <v>799</v>
          </cell>
          <cell r="L634">
            <v>0.5</v>
          </cell>
          <cell r="M634">
            <v>11.7</v>
          </cell>
          <cell r="N634">
            <v>2.7</v>
          </cell>
          <cell r="O634">
            <v>0.3</v>
          </cell>
          <cell r="P634">
            <v>0.5</v>
          </cell>
          <cell r="Q634">
            <v>0.45</v>
          </cell>
          <cell r="R634">
            <v>72</v>
          </cell>
          <cell r="S634">
            <v>6.93</v>
          </cell>
          <cell r="T634">
            <v>3.83</v>
          </cell>
          <cell r="U634">
            <v>4.3</v>
          </cell>
          <cell r="W634">
            <v>-7.68</v>
          </cell>
          <cell r="X634">
            <v>121</v>
          </cell>
          <cell r="Y634">
            <v>0</v>
          </cell>
        </row>
        <row r="635">
          <cell r="B635" t="str">
            <v>RES</v>
          </cell>
          <cell r="C635">
            <v>81567</v>
          </cell>
          <cell r="D635" t="str">
            <v>2015</v>
          </cell>
          <cell r="E635" t="str">
            <v>88.9</v>
          </cell>
          <cell r="F635">
            <v>379</v>
          </cell>
          <cell r="G635">
            <v>147</v>
          </cell>
          <cell r="H635">
            <v>23</v>
          </cell>
          <cell r="I635">
            <v>74</v>
          </cell>
          <cell r="J635">
            <v>225</v>
          </cell>
          <cell r="K635">
            <v>282</v>
          </cell>
          <cell r="L635">
            <v>15.5</v>
          </cell>
          <cell r="M635">
            <v>14.4</v>
          </cell>
          <cell r="N635">
            <v>7.4</v>
          </cell>
          <cell r="O635">
            <v>0.3</v>
          </cell>
          <cell r="P635">
            <v>4.7</v>
          </cell>
          <cell r="Q635">
            <v>0.35</v>
          </cell>
          <cell r="R635">
            <v>251</v>
          </cell>
          <cell r="S635">
            <v>11.99</v>
          </cell>
          <cell r="T635">
            <v>7.32</v>
          </cell>
          <cell r="W635">
            <v>20.48</v>
          </cell>
          <cell r="X635">
            <v>242</v>
          </cell>
          <cell r="Y635">
            <v>0</v>
          </cell>
        </row>
        <row r="636">
          <cell r="B636" t="str">
            <v>RB Gärheu</v>
          </cell>
          <cell r="C636">
            <v>81572</v>
          </cell>
          <cell r="D636" t="str">
            <v>2014</v>
          </cell>
          <cell r="E636">
            <v>71.5</v>
          </cell>
          <cell r="F636">
            <v>160</v>
          </cell>
          <cell r="G636">
            <v>314</v>
          </cell>
          <cell r="H636">
            <v>19</v>
          </cell>
          <cell r="I636">
            <v>84</v>
          </cell>
          <cell r="J636">
            <v>345</v>
          </cell>
          <cell r="K636">
            <v>513</v>
          </cell>
          <cell r="L636">
            <v>3.2</v>
          </cell>
          <cell r="M636">
            <v>16</v>
          </cell>
          <cell r="N636">
            <v>7.4</v>
          </cell>
          <cell r="O636">
            <v>3.7</v>
          </cell>
          <cell r="P636">
            <v>2.7</v>
          </cell>
          <cell r="Q636">
            <v>0.25</v>
          </cell>
          <cell r="R636">
            <v>128</v>
          </cell>
          <cell r="S636">
            <v>8.4600000000000009</v>
          </cell>
          <cell r="T636">
            <v>4.87</v>
          </cell>
          <cell r="U636">
            <v>3.23</v>
          </cell>
          <cell r="W636">
            <v>5.12</v>
          </cell>
          <cell r="X636">
            <v>224</v>
          </cell>
          <cell r="Y636">
            <v>0</v>
          </cell>
        </row>
        <row r="637">
          <cell r="B637" t="str">
            <v>Silo 04</v>
          </cell>
          <cell r="C637">
            <v>81577</v>
          </cell>
          <cell r="D637" t="str">
            <v>2014</v>
          </cell>
          <cell r="E637">
            <v>33.799999999999997</v>
          </cell>
          <cell r="F637">
            <v>167</v>
          </cell>
          <cell r="G637">
            <v>269</v>
          </cell>
          <cell r="H637">
            <v>36</v>
          </cell>
          <cell r="I637">
            <v>123</v>
          </cell>
          <cell r="J637">
            <v>302</v>
          </cell>
          <cell r="K637">
            <v>458</v>
          </cell>
          <cell r="L637">
            <v>6</v>
          </cell>
          <cell r="M637">
            <v>28.2</v>
          </cell>
          <cell r="N637">
            <v>6.9</v>
          </cell>
          <cell r="O637">
            <v>1.6</v>
          </cell>
          <cell r="P637">
            <v>2.6</v>
          </cell>
          <cell r="Q637">
            <v>0.15</v>
          </cell>
          <cell r="R637">
            <v>130</v>
          </cell>
          <cell r="S637">
            <v>9.5399999999999991</v>
          </cell>
          <cell r="T637">
            <v>5.65</v>
          </cell>
          <cell r="U637">
            <v>2.9</v>
          </cell>
          <cell r="V637">
            <v>8</v>
          </cell>
          <cell r="W637">
            <v>5.92</v>
          </cell>
          <cell r="X637">
            <v>216</v>
          </cell>
          <cell r="Y637">
            <v>0</v>
          </cell>
        </row>
        <row r="638">
          <cell r="B638" t="str">
            <v>RES</v>
          </cell>
          <cell r="C638">
            <v>81579</v>
          </cell>
          <cell r="D638" t="str">
            <v>2015</v>
          </cell>
          <cell r="E638">
            <v>88.6</v>
          </cell>
          <cell r="F638">
            <v>377</v>
          </cell>
          <cell r="G638">
            <v>140</v>
          </cell>
          <cell r="H638">
            <v>13</v>
          </cell>
          <cell r="I638">
            <v>74</v>
          </cell>
          <cell r="J638">
            <v>224</v>
          </cell>
          <cell r="K638">
            <v>278</v>
          </cell>
          <cell r="L638">
            <v>15.7</v>
          </cell>
          <cell r="M638">
            <v>14.1</v>
          </cell>
          <cell r="N638">
            <v>8</v>
          </cell>
          <cell r="O638">
            <v>0.7</v>
          </cell>
          <cell r="P638">
            <v>4.9000000000000004</v>
          </cell>
          <cell r="Q638">
            <v>0.35</v>
          </cell>
          <cell r="R638">
            <v>249</v>
          </cell>
          <cell r="S638">
            <v>11.85</v>
          </cell>
          <cell r="T638">
            <v>7.24</v>
          </cell>
          <cell r="V638">
            <v>80</v>
          </cell>
          <cell r="W638">
            <v>20.48</v>
          </cell>
          <cell r="X638">
            <v>258</v>
          </cell>
          <cell r="Y638">
            <v>0</v>
          </cell>
        </row>
        <row r="639">
          <cell r="B639" t="str">
            <v>WGB 40/43/11/4/1,5/0,5</v>
          </cell>
          <cell r="C639">
            <v>81580</v>
          </cell>
          <cell r="D639" t="str">
            <v>2015</v>
          </cell>
          <cell r="E639">
            <v>89.3</v>
          </cell>
          <cell r="F639">
            <v>144</v>
          </cell>
          <cell r="G639">
            <v>45</v>
          </cell>
          <cell r="H639">
            <v>19</v>
          </cell>
          <cell r="I639">
            <v>62</v>
          </cell>
          <cell r="J639">
            <v>52</v>
          </cell>
          <cell r="K639">
            <v>151</v>
          </cell>
          <cell r="L639">
            <v>5.5</v>
          </cell>
          <cell r="M639">
            <v>6.9</v>
          </cell>
          <cell r="N639">
            <v>11</v>
          </cell>
          <cell r="O639">
            <v>3.4</v>
          </cell>
          <cell r="P639">
            <v>2.7</v>
          </cell>
          <cell r="Q639">
            <v>0.21</v>
          </cell>
          <cell r="R639">
            <v>171</v>
          </cell>
          <cell r="S639">
            <v>13.27</v>
          </cell>
          <cell r="T639">
            <v>8.51</v>
          </cell>
          <cell r="W639">
            <v>-4.32</v>
          </cell>
          <cell r="X639">
            <v>624</v>
          </cell>
          <cell r="Y639">
            <v>0</v>
          </cell>
        </row>
        <row r="640">
          <cell r="B640" t="str">
            <v>Stroh, Gerste</v>
          </cell>
          <cell r="C640">
            <v>81581</v>
          </cell>
          <cell r="D640" t="str">
            <v>2014</v>
          </cell>
          <cell r="E640">
            <v>92.5</v>
          </cell>
          <cell r="F640">
            <v>37</v>
          </cell>
          <cell r="G640">
            <v>469</v>
          </cell>
          <cell r="H640">
            <v>18</v>
          </cell>
          <cell r="I640">
            <v>31</v>
          </cell>
          <cell r="J640">
            <v>517</v>
          </cell>
          <cell r="K640">
            <v>783</v>
          </cell>
          <cell r="L640">
            <v>0.6</v>
          </cell>
          <cell r="M640">
            <v>6.5</v>
          </cell>
          <cell r="N640">
            <v>3.2</v>
          </cell>
          <cell r="O640">
            <v>0.6</v>
          </cell>
          <cell r="P640">
            <v>0.6</v>
          </cell>
          <cell r="Q640">
            <v>0.45</v>
          </cell>
          <cell r="R640">
            <v>80</v>
          </cell>
          <cell r="S640">
            <v>7.05</v>
          </cell>
          <cell r="T640">
            <v>3.9</v>
          </cell>
          <cell r="V640">
            <v>7</v>
          </cell>
          <cell r="W640">
            <v>-6.88</v>
          </cell>
          <cell r="X640">
            <v>131</v>
          </cell>
          <cell r="Y640">
            <v>0</v>
          </cell>
        </row>
        <row r="641">
          <cell r="B641" t="str">
            <v>Silo 12</v>
          </cell>
          <cell r="C641">
            <v>81578</v>
          </cell>
          <cell r="D641" t="str">
            <v>2014</v>
          </cell>
          <cell r="E641">
            <v>40.200000000000003</v>
          </cell>
          <cell r="F641">
            <v>77</v>
          </cell>
          <cell r="G641">
            <v>164</v>
          </cell>
          <cell r="H641">
            <v>43</v>
          </cell>
          <cell r="I641">
            <v>31</v>
          </cell>
          <cell r="J641">
            <v>180</v>
          </cell>
          <cell r="K641">
            <v>333</v>
          </cell>
          <cell r="L641">
            <v>4.4000000000000004</v>
          </cell>
          <cell r="M641">
            <v>9</v>
          </cell>
          <cell r="N641">
            <v>2.2000000000000002</v>
          </cell>
          <cell r="O641">
            <v>0.2</v>
          </cell>
          <cell r="P641">
            <v>1</v>
          </cell>
          <cell r="Q641">
            <v>0.25</v>
          </cell>
          <cell r="S641">
            <v>0</v>
          </cell>
          <cell r="U641">
            <v>1.4</v>
          </cell>
          <cell r="V641">
            <v>7</v>
          </cell>
          <cell r="W641">
            <v>12.32</v>
          </cell>
          <cell r="X641">
            <v>516</v>
          </cell>
          <cell r="Y641">
            <v>0</v>
          </cell>
        </row>
      </sheetData>
      <sheetData sheetId="1"/>
      <sheetData sheetId="2"/>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8.bin"/><Relationship Id="rId21" Type="http://schemas.openxmlformats.org/officeDocument/2006/relationships/ctrlProp" Target="../ctrlProps/ctrlProp16.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printerSettings" Target="../printerSettings/printerSettings7.bin"/><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6.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3.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2">
    <tabColor rgb="FFC00000"/>
  </sheetPr>
  <dimension ref="A2:B26"/>
  <sheetViews>
    <sheetView showGridLines="0" showRowColHeaders="0" tabSelected="1" topLeftCell="A2" zoomScale="80" zoomScaleNormal="80" workbookViewId="0">
      <selection activeCell="B5" sqref="B5"/>
    </sheetView>
  </sheetViews>
  <sheetFormatPr baseColWidth="10" defaultColWidth="0" defaultRowHeight="12.5" zeroHeight="1" x14ac:dyDescent="0.25"/>
  <cols>
    <col min="1" max="1" width="11.453125" style="12" customWidth="1"/>
    <col min="2" max="2" width="234.7265625" style="20" customWidth="1"/>
    <col min="3" max="16384" width="11.453125" style="12" hidden="1"/>
  </cols>
  <sheetData>
    <row r="2" spans="2:2" x14ac:dyDescent="0.25">
      <c r="B2" s="474"/>
    </row>
    <row r="3" spans="2:2" x14ac:dyDescent="0.25">
      <c r="B3" s="474"/>
    </row>
    <row r="4" spans="2:2" ht="60" x14ac:dyDescent="0.25">
      <c r="B4" s="475" t="s">
        <v>221</v>
      </c>
    </row>
    <row r="5" spans="2:2" ht="285" customHeight="1" x14ac:dyDescent="0.25">
      <c r="B5" s="474"/>
    </row>
    <row r="6" spans="2:2" ht="57.75" customHeight="1" x14ac:dyDescent="0.25">
      <c r="B6" s="476" t="s">
        <v>222</v>
      </c>
    </row>
    <row r="7" spans="2:2" ht="23" x14ac:dyDescent="0.25">
      <c r="B7" s="476" t="s">
        <v>219</v>
      </c>
    </row>
    <row r="8" spans="2:2" ht="23" x14ac:dyDescent="0.25">
      <c r="B8" s="476" t="s">
        <v>220</v>
      </c>
    </row>
    <row r="9" spans="2:2" ht="17.5" x14ac:dyDescent="0.25">
      <c r="B9" s="477"/>
    </row>
    <row r="10" spans="2:2" x14ac:dyDescent="0.25">
      <c r="B10" s="474"/>
    </row>
    <row r="11" spans="2:2" x14ac:dyDescent="0.25">
      <c r="B11" s="474"/>
    </row>
    <row r="12" spans="2:2" x14ac:dyDescent="0.25">
      <c r="B12" s="474"/>
    </row>
    <row r="13" spans="2:2" x14ac:dyDescent="0.25">
      <c r="B13" s="474"/>
    </row>
    <row r="14" spans="2:2" x14ac:dyDescent="0.25">
      <c r="B14" s="474"/>
    </row>
    <row r="15" spans="2:2" x14ac:dyDescent="0.25">
      <c r="B15" s="474"/>
    </row>
    <row r="16" spans="2:2" x14ac:dyDescent="0.25">
      <c r="B16" s="474"/>
    </row>
    <row r="17" spans="2:2" x14ac:dyDescent="0.25">
      <c r="B17" s="474"/>
    </row>
    <row r="18" spans="2:2" x14ac:dyDescent="0.25">
      <c r="B18" s="474"/>
    </row>
    <row r="19" spans="2:2" x14ac:dyDescent="0.25">
      <c r="B19" s="474"/>
    </row>
    <row r="20" spans="2:2" x14ac:dyDescent="0.25">
      <c r="B20" s="474"/>
    </row>
    <row r="21" spans="2:2" x14ac:dyDescent="0.25">
      <c r="B21" s="474"/>
    </row>
    <row r="22" spans="2:2" x14ac:dyDescent="0.25">
      <c r="B22" s="474"/>
    </row>
    <row r="23" spans="2:2" x14ac:dyDescent="0.25">
      <c r="B23" s="474"/>
    </row>
    <row r="24" spans="2:2" x14ac:dyDescent="0.25">
      <c r="B24" s="474"/>
    </row>
    <row r="25" spans="2:2" x14ac:dyDescent="0.25">
      <c r="B25" s="474"/>
    </row>
    <row r="26" spans="2:2" x14ac:dyDescent="0.25">
      <c r="B26" s="474"/>
    </row>
  </sheetData>
  <sheetProtection algorithmName="SHA-512" hashValue="rFAJIs/9b9BzVy9dCJR4eFzOSiKQB2EW6XnXXV4ENFDMGne8uZu26SQvnNTkz6/njj4DcqLxZzd8EW2AIxb4Kw==" saltValue="eDZL3M81Epcr5nfHxUTNOA==" spinCount="100000" sheet="1" objects="1" scenarios="1"/>
  <customSheetViews>
    <customSheetView guid="{2DEE39A3-88C5-4D7F-AEB9-0B43FD431165}" showGridLines="0" showRowCol="0" hiddenRows="1" hiddenColumns="1" topLeftCell="B2">
      <selection activeCell="B2" sqref="B2"/>
      <pageMargins left="0.7" right="0.7" top="0.78740157499999996" bottom="0.78740157499999996" header="0.3" footer="0.3"/>
    </customSheetView>
    <customSheetView guid="{117F828A-4542-4D18-9CDB-B606529AAD66}" showGridLines="0" showRowCol="0" hiddenRows="1" hiddenColumns="1" topLeftCell="B2">
      <selection activeCell="B1" sqref="A1:XFD1"/>
      <pageMargins left="0.7" right="0.7" top="0.78740157499999996" bottom="0.78740157499999996" header="0.3" footer="0.3"/>
    </customSheetView>
  </customSheetView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014CB-073B-4132-97BB-619B3F00D710}">
  <sheetPr codeName="Tabelle13"/>
  <dimension ref="A1:G56"/>
  <sheetViews>
    <sheetView zoomScale="80" zoomScaleNormal="80" workbookViewId="0">
      <selection activeCell="D8" sqref="D8"/>
    </sheetView>
  </sheetViews>
  <sheetFormatPr baseColWidth="10" defaultRowHeight="12.5" x14ac:dyDescent="0.25"/>
  <cols>
    <col min="2" max="2" width="25.54296875" customWidth="1"/>
    <col min="4" max="4" width="83.81640625" customWidth="1"/>
    <col min="5" max="5" width="5.26953125" customWidth="1"/>
    <col min="6" max="6" width="70.54296875" customWidth="1"/>
    <col min="7" max="7" width="49" customWidth="1"/>
  </cols>
  <sheetData>
    <row r="1" spans="1:7" x14ac:dyDescent="0.25">
      <c r="A1" s="493"/>
      <c r="B1" s="493"/>
      <c r="C1" s="493"/>
      <c r="D1" s="494"/>
      <c r="E1" s="494"/>
      <c r="F1" s="494"/>
      <c r="G1" s="493"/>
    </row>
    <row r="2" spans="1:7" ht="15.5" x14ac:dyDescent="0.35">
      <c r="A2" s="493"/>
      <c r="B2" s="495" t="s">
        <v>77</v>
      </c>
      <c r="C2" s="495"/>
      <c r="D2" s="494"/>
      <c r="E2" s="494"/>
      <c r="F2" s="494"/>
      <c r="G2" s="493"/>
    </row>
    <row r="3" spans="1:7" x14ac:dyDescent="0.25">
      <c r="A3" s="493"/>
      <c r="B3" s="493"/>
      <c r="C3" s="493"/>
      <c r="D3" s="494"/>
      <c r="E3" s="494"/>
      <c r="F3" s="494"/>
      <c r="G3" s="493"/>
    </row>
    <row r="4" spans="1:7" ht="90" customHeight="1" x14ac:dyDescent="0.25">
      <c r="A4" s="493"/>
      <c r="B4" s="914" t="s">
        <v>290</v>
      </c>
      <c r="C4" s="914"/>
      <c r="D4" s="914"/>
      <c r="E4" s="914"/>
      <c r="F4" s="914"/>
      <c r="G4" s="493"/>
    </row>
    <row r="5" spans="1:7" x14ac:dyDescent="0.25">
      <c r="A5" s="493"/>
      <c r="B5" s="493"/>
      <c r="C5" s="493"/>
      <c r="D5" s="494"/>
      <c r="E5" s="494"/>
      <c r="F5" s="494"/>
      <c r="G5" s="493"/>
    </row>
    <row r="6" spans="1:7" ht="15.5" x14ac:dyDescent="0.35">
      <c r="A6" s="493"/>
      <c r="B6" s="495" t="s">
        <v>78</v>
      </c>
      <c r="C6" s="496"/>
      <c r="D6" s="494"/>
      <c r="E6" s="494"/>
      <c r="F6" s="494"/>
      <c r="G6" s="493"/>
    </row>
    <row r="7" spans="1:7" x14ac:dyDescent="0.25">
      <c r="A7" s="493"/>
      <c r="B7" s="914" t="s">
        <v>79</v>
      </c>
      <c r="C7" s="914"/>
      <c r="D7" s="914"/>
      <c r="E7" s="914"/>
      <c r="F7" s="914"/>
      <c r="G7" s="493"/>
    </row>
    <row r="8" spans="1:7" x14ac:dyDescent="0.25">
      <c r="A8" s="493"/>
      <c r="B8" s="493"/>
      <c r="C8" s="493"/>
      <c r="D8" s="494"/>
      <c r="E8" s="494"/>
      <c r="F8" s="494"/>
      <c r="G8" s="493"/>
    </row>
    <row r="9" spans="1:7" ht="13" x14ac:dyDescent="0.25">
      <c r="A9" s="493"/>
      <c r="B9" s="497" t="s">
        <v>80</v>
      </c>
      <c r="C9" s="497"/>
      <c r="D9" s="498" t="s">
        <v>81</v>
      </c>
      <c r="E9" s="498"/>
      <c r="F9" s="498" t="s">
        <v>82</v>
      </c>
      <c r="G9" s="493"/>
    </row>
    <row r="10" spans="1:7" ht="233.25" customHeight="1" x14ac:dyDescent="0.25">
      <c r="A10" s="493"/>
      <c r="B10" s="499" t="s">
        <v>70</v>
      </c>
      <c r="C10" s="500"/>
      <c r="D10" s="501" t="s">
        <v>301</v>
      </c>
      <c r="E10" s="494"/>
      <c r="F10" s="501" t="s">
        <v>225</v>
      </c>
      <c r="G10" s="493"/>
    </row>
    <row r="11" spans="1:7" x14ac:dyDescent="0.25">
      <c r="A11" s="493"/>
      <c r="B11" s="500"/>
      <c r="C11" s="500"/>
      <c r="D11" s="494"/>
      <c r="E11" s="494"/>
      <c r="F11" s="494"/>
      <c r="G11" s="493"/>
    </row>
    <row r="12" spans="1:7" x14ac:dyDescent="0.25">
      <c r="A12" s="493"/>
      <c r="B12" s="500"/>
      <c r="C12" s="500"/>
      <c r="D12" s="494"/>
      <c r="E12" s="494"/>
      <c r="F12" s="494"/>
      <c r="G12" s="493"/>
    </row>
    <row r="13" spans="1:7" ht="356.15" customHeight="1" x14ac:dyDescent="0.25">
      <c r="A13" s="493"/>
      <c r="B13" s="503" t="s">
        <v>83</v>
      </c>
      <c r="C13" s="500"/>
      <c r="D13" s="501" t="s">
        <v>304</v>
      </c>
      <c r="E13" s="501"/>
      <c r="F13" s="501" t="s">
        <v>287</v>
      </c>
      <c r="G13" s="493"/>
    </row>
    <row r="14" spans="1:7" x14ac:dyDescent="0.25">
      <c r="A14" s="493"/>
      <c r="B14" s="501"/>
      <c r="C14" s="501"/>
      <c r="D14" s="501"/>
      <c r="E14" s="501"/>
      <c r="F14" s="501"/>
      <c r="G14" s="493"/>
    </row>
    <row r="15" spans="1:7" ht="74.5" customHeight="1" x14ac:dyDescent="0.25">
      <c r="A15" s="493"/>
      <c r="B15" s="503" t="s">
        <v>100</v>
      </c>
      <c r="C15" s="500"/>
      <c r="D15" s="501" t="s">
        <v>288</v>
      </c>
      <c r="E15" s="502"/>
      <c r="F15" s="501" t="s">
        <v>289</v>
      </c>
      <c r="G15" s="493"/>
    </row>
    <row r="16" spans="1:7" x14ac:dyDescent="0.25">
      <c r="A16" s="493"/>
      <c r="B16" s="501"/>
      <c r="C16" s="501"/>
      <c r="D16" s="501"/>
      <c r="E16" s="502"/>
      <c r="F16" s="501"/>
      <c r="G16" s="493"/>
    </row>
    <row r="17" spans="1:7" x14ac:dyDescent="0.25">
      <c r="A17" s="501"/>
      <c r="B17" s="501"/>
      <c r="C17" s="501"/>
      <c r="D17" s="501"/>
      <c r="E17" s="501"/>
      <c r="F17" s="501"/>
      <c r="G17" s="501"/>
    </row>
    <row r="18" spans="1:7" x14ac:dyDescent="0.25">
      <c r="A18" s="501"/>
      <c r="B18" s="501"/>
      <c r="C18" s="501"/>
      <c r="D18" s="501"/>
      <c r="E18" s="501"/>
      <c r="F18" s="501"/>
      <c r="G18" s="501"/>
    </row>
    <row r="19" spans="1:7" ht="15.5" x14ac:dyDescent="0.35">
      <c r="A19" s="501"/>
      <c r="B19" s="495" t="s">
        <v>226</v>
      </c>
      <c r="C19" s="501"/>
      <c r="D19" s="501"/>
      <c r="E19" s="501"/>
      <c r="F19" s="501"/>
      <c r="G19" s="501"/>
    </row>
    <row r="20" spans="1:7" x14ac:dyDescent="0.25">
      <c r="A20" s="501"/>
      <c r="B20" s="504" t="s">
        <v>231</v>
      </c>
      <c r="C20" s="501"/>
      <c r="D20" s="501"/>
      <c r="E20" s="501"/>
      <c r="F20" s="501"/>
      <c r="G20" s="501"/>
    </row>
    <row r="21" spans="1:7" x14ac:dyDescent="0.25">
      <c r="A21" s="501"/>
      <c r="B21" s="501"/>
      <c r="C21" s="501"/>
      <c r="D21" s="501"/>
      <c r="E21" s="501"/>
      <c r="F21" s="501"/>
      <c r="G21" s="501"/>
    </row>
    <row r="22" spans="1:7" ht="13" x14ac:dyDescent="0.25">
      <c r="A22" s="501"/>
      <c r="B22" s="497" t="s">
        <v>227</v>
      </c>
      <c r="C22" s="497"/>
      <c r="D22" s="498" t="s">
        <v>228</v>
      </c>
      <c r="E22" s="501"/>
      <c r="F22" s="501"/>
      <c r="G22" s="501"/>
    </row>
    <row r="23" spans="1:7" x14ac:dyDescent="0.25">
      <c r="A23" s="501"/>
      <c r="B23" s="501" t="s">
        <v>37</v>
      </c>
      <c r="C23" s="501"/>
      <c r="D23" s="501" t="s">
        <v>250</v>
      </c>
      <c r="E23" s="501"/>
      <c r="F23" s="501"/>
      <c r="G23" s="501"/>
    </row>
    <row r="24" spans="1:7" x14ac:dyDescent="0.25">
      <c r="A24" s="501"/>
      <c r="B24" s="501" t="s">
        <v>166</v>
      </c>
      <c r="C24" s="501"/>
      <c r="D24" s="501" t="s">
        <v>251</v>
      </c>
      <c r="E24" s="501"/>
      <c r="F24" s="501"/>
      <c r="G24" s="501"/>
    </row>
    <row r="25" spans="1:7" x14ac:dyDescent="0.25">
      <c r="A25" s="501"/>
      <c r="B25" s="501" t="s">
        <v>124</v>
      </c>
      <c r="C25" s="501"/>
      <c r="D25" s="501" t="s">
        <v>238</v>
      </c>
      <c r="E25" s="501"/>
      <c r="F25" s="501"/>
      <c r="G25" s="501"/>
    </row>
    <row r="26" spans="1:7" ht="16" x14ac:dyDescent="0.25">
      <c r="A26" s="501"/>
      <c r="B26" s="501" t="s">
        <v>125</v>
      </c>
      <c r="C26" s="501"/>
      <c r="D26" s="501" t="s">
        <v>252</v>
      </c>
      <c r="E26" s="501"/>
      <c r="F26" s="501"/>
      <c r="G26" s="501"/>
    </row>
    <row r="27" spans="1:7" x14ac:dyDescent="0.25">
      <c r="A27" s="501"/>
      <c r="B27" s="501" t="s">
        <v>69</v>
      </c>
      <c r="C27" s="501"/>
      <c r="D27" s="501" t="s">
        <v>253</v>
      </c>
      <c r="E27" s="501"/>
      <c r="F27" s="501"/>
      <c r="G27" s="501"/>
    </row>
    <row r="28" spans="1:7" x14ac:dyDescent="0.25">
      <c r="A28" s="501"/>
      <c r="B28" s="501" t="s">
        <v>145</v>
      </c>
      <c r="C28" s="501"/>
      <c r="D28" s="501" t="s">
        <v>254</v>
      </c>
      <c r="E28" s="501"/>
      <c r="F28" s="501"/>
      <c r="G28" s="501"/>
    </row>
    <row r="29" spans="1:7" x14ac:dyDescent="0.25">
      <c r="A29" s="501"/>
      <c r="B29" s="501" t="s">
        <v>75</v>
      </c>
      <c r="C29" s="501"/>
      <c r="D29" s="501" t="s">
        <v>255</v>
      </c>
      <c r="E29" s="501"/>
      <c r="F29" s="501"/>
      <c r="G29" s="501"/>
    </row>
    <row r="30" spans="1:7" x14ac:dyDescent="0.25">
      <c r="A30" s="501"/>
      <c r="B30" s="501" t="s">
        <v>161</v>
      </c>
      <c r="C30" s="501"/>
      <c r="D30" s="501" t="s">
        <v>256</v>
      </c>
      <c r="E30" s="501"/>
      <c r="F30" s="501"/>
      <c r="G30" s="501"/>
    </row>
    <row r="31" spans="1:7" x14ac:dyDescent="0.25">
      <c r="A31" s="501"/>
      <c r="B31" s="501" t="s">
        <v>21</v>
      </c>
      <c r="C31" s="501"/>
      <c r="D31" s="501" t="s">
        <v>239</v>
      </c>
      <c r="E31" s="501"/>
      <c r="F31" s="501"/>
      <c r="G31" s="501"/>
    </row>
    <row r="32" spans="1:7" x14ac:dyDescent="0.25">
      <c r="A32" s="501"/>
      <c r="B32" s="501" t="s">
        <v>266</v>
      </c>
      <c r="C32" s="501"/>
      <c r="D32" s="501" t="s">
        <v>267</v>
      </c>
      <c r="E32" s="501"/>
      <c r="F32" s="501"/>
      <c r="G32" s="501"/>
    </row>
    <row r="33" spans="1:7" x14ac:dyDescent="0.25">
      <c r="A33" s="501"/>
      <c r="B33" s="501" t="s">
        <v>144</v>
      </c>
      <c r="C33" s="501"/>
      <c r="D33" s="501" t="s">
        <v>49</v>
      </c>
      <c r="E33" s="501"/>
      <c r="F33" s="501"/>
      <c r="G33" s="501"/>
    </row>
    <row r="34" spans="1:7" x14ac:dyDescent="0.25">
      <c r="A34" s="501"/>
      <c r="B34" s="501" t="s">
        <v>163</v>
      </c>
      <c r="C34" s="501"/>
      <c r="D34" s="501" t="s">
        <v>240</v>
      </c>
      <c r="E34" s="501"/>
      <c r="F34" s="501"/>
      <c r="G34" s="501"/>
    </row>
    <row r="35" spans="1:7" x14ac:dyDescent="0.25">
      <c r="A35" s="501"/>
      <c r="B35" s="501" t="s">
        <v>101</v>
      </c>
      <c r="C35" s="501"/>
      <c r="D35" s="501" t="s">
        <v>257</v>
      </c>
      <c r="E35" s="501"/>
      <c r="F35" s="501"/>
      <c r="G35" s="501"/>
    </row>
    <row r="36" spans="1:7" x14ac:dyDescent="0.25">
      <c r="A36" s="501"/>
      <c r="B36" s="501" t="s">
        <v>205</v>
      </c>
      <c r="C36" s="501"/>
      <c r="D36" s="501" t="s">
        <v>258</v>
      </c>
      <c r="E36" s="501"/>
      <c r="F36" s="501"/>
      <c r="G36" s="501"/>
    </row>
    <row r="37" spans="1:7" ht="18" x14ac:dyDescent="0.25">
      <c r="A37" s="501"/>
      <c r="B37" s="501" t="s">
        <v>229</v>
      </c>
      <c r="C37" s="501"/>
      <c r="D37" s="501" t="s">
        <v>259</v>
      </c>
      <c r="E37" s="501"/>
      <c r="F37" s="501"/>
      <c r="G37" s="501"/>
    </row>
    <row r="38" spans="1:7" x14ac:dyDescent="0.25">
      <c r="A38" s="501"/>
      <c r="B38" s="501" t="s">
        <v>160</v>
      </c>
      <c r="C38" s="501"/>
      <c r="D38" s="501" t="s">
        <v>241</v>
      </c>
      <c r="E38" s="501"/>
      <c r="F38" s="501"/>
      <c r="G38" s="501"/>
    </row>
    <row r="39" spans="1:7" x14ac:dyDescent="0.25">
      <c r="A39" s="501"/>
      <c r="B39" s="501" t="s">
        <v>25</v>
      </c>
      <c r="C39" s="501"/>
      <c r="D39" s="501" t="s">
        <v>242</v>
      </c>
      <c r="E39" s="501"/>
      <c r="F39" s="501"/>
      <c r="G39" s="501"/>
    </row>
    <row r="40" spans="1:7" x14ac:dyDescent="0.25">
      <c r="A40" s="501"/>
      <c r="B40" s="501" t="s">
        <v>168</v>
      </c>
      <c r="C40" s="501"/>
      <c r="D40" s="501" t="s">
        <v>260</v>
      </c>
      <c r="E40" s="501"/>
      <c r="F40" s="501"/>
      <c r="G40" s="501"/>
    </row>
    <row r="41" spans="1:7" x14ac:dyDescent="0.25">
      <c r="A41" s="501"/>
      <c r="B41" s="501" t="s">
        <v>36</v>
      </c>
      <c r="C41" s="501"/>
      <c r="D41" s="501" t="s">
        <v>243</v>
      </c>
      <c r="E41" s="501"/>
      <c r="F41" s="501"/>
      <c r="G41" s="501"/>
    </row>
    <row r="42" spans="1:7" x14ac:dyDescent="0.25">
      <c r="A42" s="501"/>
      <c r="B42" s="501" t="s">
        <v>24</v>
      </c>
      <c r="C42" s="501"/>
      <c r="D42" s="501" t="s">
        <v>244</v>
      </c>
      <c r="E42" s="501"/>
      <c r="F42" s="501"/>
      <c r="G42" s="501"/>
    </row>
    <row r="43" spans="1:7" x14ac:dyDescent="0.25">
      <c r="A43" s="501"/>
      <c r="B43" s="501" t="s">
        <v>23</v>
      </c>
      <c r="C43" s="501"/>
      <c r="D43" s="501" t="s">
        <v>245</v>
      </c>
      <c r="E43" s="501"/>
      <c r="F43" s="501"/>
      <c r="G43" s="501"/>
    </row>
    <row r="44" spans="1:7" x14ac:dyDescent="0.25">
      <c r="A44" s="501"/>
      <c r="B44" s="501" t="s">
        <v>59</v>
      </c>
      <c r="C44" s="501"/>
      <c r="D44" s="501" t="s">
        <v>246</v>
      </c>
      <c r="E44" s="501"/>
      <c r="F44" s="501"/>
      <c r="G44" s="501"/>
    </row>
    <row r="45" spans="1:7" x14ac:dyDescent="0.25">
      <c r="A45" s="501"/>
      <c r="B45" s="501" t="s">
        <v>230</v>
      </c>
      <c r="C45" s="501"/>
      <c r="D45" s="501" t="s">
        <v>247</v>
      </c>
      <c r="E45" s="501"/>
      <c r="F45" s="501"/>
      <c r="G45" s="501"/>
    </row>
    <row r="46" spans="1:7" x14ac:dyDescent="0.25">
      <c r="A46" s="501"/>
      <c r="B46" s="501" t="s">
        <v>22</v>
      </c>
      <c r="C46" s="501"/>
      <c r="D46" s="501" t="s">
        <v>235</v>
      </c>
      <c r="E46" s="501"/>
      <c r="F46" s="501"/>
      <c r="G46" s="501"/>
    </row>
    <row r="47" spans="1:7" x14ac:dyDescent="0.25">
      <c r="A47" s="501"/>
      <c r="B47" s="501" t="s">
        <v>212</v>
      </c>
      <c r="C47" s="501"/>
      <c r="D47" s="501" t="s">
        <v>261</v>
      </c>
      <c r="E47" s="501"/>
      <c r="F47" s="501"/>
      <c r="G47" s="501"/>
    </row>
    <row r="48" spans="1:7" x14ac:dyDescent="0.25">
      <c r="A48" s="501"/>
      <c r="B48" s="501" t="s">
        <v>90</v>
      </c>
      <c r="C48" s="501"/>
      <c r="D48" s="501" t="s">
        <v>248</v>
      </c>
      <c r="E48" s="501"/>
      <c r="F48" s="501"/>
      <c r="G48" s="501"/>
    </row>
    <row r="49" spans="1:7" x14ac:dyDescent="0.25">
      <c r="A49" s="501"/>
      <c r="B49" s="501" t="s">
        <v>233</v>
      </c>
      <c r="C49" s="501"/>
      <c r="D49" s="501" t="s">
        <v>262</v>
      </c>
      <c r="E49" s="501"/>
      <c r="F49" s="501"/>
      <c r="G49" s="501"/>
    </row>
    <row r="50" spans="1:7" x14ac:dyDescent="0.25">
      <c r="A50" s="501"/>
      <c r="B50" s="501" t="s">
        <v>211</v>
      </c>
      <c r="C50" s="501"/>
      <c r="D50" s="501" t="s">
        <v>249</v>
      </c>
      <c r="E50" s="501"/>
      <c r="F50" s="501"/>
      <c r="G50" s="501"/>
    </row>
    <row r="51" spans="1:7" x14ac:dyDescent="0.25">
      <c r="A51" s="501"/>
      <c r="B51" s="501" t="s">
        <v>169</v>
      </c>
      <c r="C51" s="501"/>
      <c r="D51" s="501" t="s">
        <v>263</v>
      </c>
      <c r="E51" s="501"/>
      <c r="F51" s="501"/>
      <c r="G51" s="501"/>
    </row>
    <row r="52" spans="1:7" x14ac:dyDescent="0.25">
      <c r="A52" s="501"/>
      <c r="B52" s="501" t="s">
        <v>234</v>
      </c>
      <c r="C52" s="501"/>
      <c r="D52" s="501" t="s">
        <v>33</v>
      </c>
      <c r="E52" s="501"/>
      <c r="F52" s="501"/>
      <c r="G52" s="501"/>
    </row>
    <row r="53" spans="1:7" ht="25" x14ac:dyDescent="0.25">
      <c r="A53" s="501"/>
      <c r="B53" s="501" t="s">
        <v>142</v>
      </c>
      <c r="C53" s="501"/>
      <c r="D53" s="501" t="s">
        <v>264</v>
      </c>
      <c r="E53" s="501"/>
      <c r="F53" s="501"/>
      <c r="G53" s="501"/>
    </row>
    <row r="54" spans="1:7" x14ac:dyDescent="0.25">
      <c r="A54" s="501"/>
      <c r="B54" s="501" t="s">
        <v>232</v>
      </c>
      <c r="C54" s="501"/>
      <c r="D54" s="501" t="s">
        <v>50</v>
      </c>
      <c r="E54" s="501"/>
      <c r="F54" s="501"/>
      <c r="G54" s="501"/>
    </row>
    <row r="55" spans="1:7" x14ac:dyDescent="0.25">
      <c r="A55" s="501"/>
      <c r="B55" s="501" t="s">
        <v>206</v>
      </c>
      <c r="C55" s="501"/>
      <c r="D55" s="501" t="s">
        <v>265</v>
      </c>
      <c r="E55" s="501"/>
      <c r="F55" s="501"/>
      <c r="G55" s="501"/>
    </row>
    <row r="56" spans="1:7" x14ac:dyDescent="0.25">
      <c r="A56" s="501"/>
      <c r="B56" s="501" t="s">
        <v>143</v>
      </c>
      <c r="C56" s="501"/>
      <c r="D56" s="501" t="s">
        <v>32</v>
      </c>
      <c r="E56" s="501"/>
      <c r="F56" s="501"/>
      <c r="G56" s="501"/>
    </row>
  </sheetData>
  <sheetProtection algorithmName="SHA-512" hashValue="i/Wmy74yqwBU5qNftYo3zrtJVas7nt46ErYZMFR89MjMHitLxBZSUnfrHlvTL1CydXPkhQ3P+0cmmhepNYIKVA==" saltValue="8ubQonOpO0evuh1/52amcQ==" spinCount="100000" sheet="1" objects="1" scenarios="1"/>
  <sortState xmlns:xlrd2="http://schemas.microsoft.com/office/spreadsheetml/2017/richdata2" ref="B23:B56">
    <sortCondition ref="B56"/>
  </sortState>
  <mergeCells count="2">
    <mergeCell ref="B4:F4"/>
    <mergeCell ref="B7:F7"/>
  </mergeCells>
  <hyperlinks>
    <hyperlink ref="B13" location="'Ration Milch'!A1" display="Ration Milch" xr:uid="{3D92A980-74C2-48FD-96B6-DE532F8ED825}"/>
    <hyperlink ref="B15" location="'Ration Milch-Mineralstoffe'!A1" display="Ration Milch-Mineralstoffe" xr:uid="{94794CAE-1611-4F4F-A6EE-B91EDB92EE0C}"/>
    <hyperlink ref="B10" location="Futterwerte!A1" display="Futterwerte" xr:uid="{6399D814-7674-4628-9FD5-93067DCC5005}"/>
  </hyperlink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rgb="FFFFC000"/>
    <pageSetUpPr fitToPage="1"/>
  </sheetPr>
  <dimension ref="A1:XAU301"/>
  <sheetViews>
    <sheetView showGridLines="0" zoomScale="70" zoomScaleNormal="70" workbookViewId="0">
      <pane xSplit="2" ySplit="7" topLeftCell="C52" activePane="bottomRight" state="frozen"/>
      <selection pane="topRight" activeCell="C1" sqref="C1"/>
      <selection pane="bottomLeft" activeCell="A8" sqref="A8"/>
      <selection pane="bottomRight" activeCell="I113" sqref="I113"/>
    </sheetView>
  </sheetViews>
  <sheetFormatPr baseColWidth="10" defaultColWidth="5.54296875" defaultRowHeight="63.75" customHeight="1" x14ac:dyDescent="0.25"/>
  <cols>
    <col min="1" max="1" width="3.54296875" style="553" bestFit="1" customWidth="1"/>
    <col min="2" max="2" width="41.453125" style="835" customWidth="1"/>
    <col min="3" max="3" width="8.1796875" style="553" customWidth="1"/>
    <col min="4" max="4" width="10" style="836" bestFit="1" customWidth="1"/>
    <col min="5" max="5" width="13.1796875" style="837" customWidth="1"/>
    <col min="6" max="6" width="8" style="838" customWidth="1"/>
    <col min="7" max="7" width="8" style="836" customWidth="1"/>
    <col min="8" max="9" width="7.81640625" style="838" customWidth="1"/>
    <col min="10" max="10" width="7.453125" style="839" bestFit="1" customWidth="1"/>
    <col min="11" max="11" width="8" style="835" customWidth="1"/>
    <col min="12" max="12" width="12.1796875" style="553" bestFit="1" customWidth="1"/>
    <col min="13" max="13" width="14.453125" style="553" bestFit="1" customWidth="1"/>
    <col min="14" max="14" width="15.1796875" style="840" hidden="1" customWidth="1"/>
    <col min="15" max="15" width="12.54296875" style="841" bestFit="1" customWidth="1"/>
    <col min="16" max="16" width="14.81640625" style="840" bestFit="1" customWidth="1"/>
    <col min="17" max="17" width="11.54296875" style="839" bestFit="1" customWidth="1"/>
    <col min="18" max="18" width="14.54296875" style="842" bestFit="1" customWidth="1"/>
    <col min="19" max="19" width="12.453125" style="841" bestFit="1" customWidth="1"/>
    <col min="20" max="20" width="9.81640625" style="835" bestFit="1" customWidth="1"/>
    <col min="21" max="21" width="12.1796875" style="845" customWidth="1"/>
    <col min="22" max="22" width="8.26953125" style="553" customWidth="1"/>
    <col min="23" max="23" width="9.7265625" style="835" customWidth="1"/>
    <col min="24" max="24" width="9.26953125" style="840" bestFit="1" customWidth="1"/>
    <col min="25" max="25" width="12.7265625" style="840" customWidth="1"/>
    <col min="26" max="26" width="8" style="846" bestFit="1" customWidth="1"/>
    <col min="27" max="27" width="11.7265625" style="842" customWidth="1"/>
    <col min="28" max="28" width="6.81640625" style="839" customWidth="1"/>
    <col min="29" max="30" width="6.81640625" style="842" customWidth="1"/>
    <col min="31" max="32" width="6.81640625" style="553" customWidth="1"/>
    <col min="33" max="33" width="10.1796875" style="842" bestFit="1" customWidth="1"/>
    <col min="34" max="34" width="10" style="839" customWidth="1"/>
    <col min="35" max="35" width="9.1796875" style="839" customWidth="1"/>
    <col min="36" max="38" width="9.1796875" style="553" customWidth="1"/>
    <col min="39" max="39" width="4.54296875" style="553" bestFit="1" customWidth="1"/>
    <col min="40" max="40" width="9.1796875" style="843" bestFit="1" customWidth="1"/>
    <col min="41" max="41" width="10" style="844" bestFit="1" customWidth="1"/>
    <col min="42" max="42" width="16.453125" style="553" hidden="1" customWidth="1"/>
    <col min="43" max="43" width="12.1796875" style="536" hidden="1" customWidth="1"/>
    <col min="44" max="44" width="10.7265625" style="535" hidden="1" customWidth="1"/>
    <col min="45" max="45" width="10.26953125" style="535" hidden="1" customWidth="1"/>
    <col min="46" max="46" width="12.54296875" style="535" hidden="1" customWidth="1"/>
    <col min="47" max="47" width="6" style="535" hidden="1" customWidth="1"/>
    <col min="48" max="48" width="17.54296875" style="535" hidden="1" customWidth="1"/>
    <col min="49" max="49" width="12.54296875" style="535" hidden="1" customWidth="1"/>
    <col min="50" max="50" width="17.54296875" style="535" hidden="1" customWidth="1"/>
    <col min="51" max="51" width="5.7265625" style="535" customWidth="1"/>
    <col min="52" max="52" width="5.54296875" style="535" customWidth="1"/>
    <col min="53" max="16264" width="5.54296875" style="535"/>
    <col min="16265" max="16266" width="4.26953125" style="724" customWidth="1"/>
    <col min="16267" max="16268" width="5.453125" style="724" customWidth="1"/>
    <col min="16269" max="16269" width="5.81640625" style="724" customWidth="1"/>
    <col min="16270" max="16270" width="5.453125" style="724" customWidth="1"/>
    <col min="16271" max="16271" width="5.54296875" style="724" customWidth="1"/>
    <col min="16272" max="16384" width="5.54296875" style="724"/>
  </cols>
  <sheetData>
    <row r="1" spans="1:50 16265:16271" ht="16" hidden="1" thickTop="1" x14ac:dyDescent="0.25">
      <c r="A1" s="341"/>
      <c r="B1" s="340" t="s">
        <v>28</v>
      </c>
      <c r="C1" s="353"/>
      <c r="D1" s="422"/>
      <c r="E1" s="342"/>
      <c r="F1" s="353"/>
      <c r="G1" s="573"/>
      <c r="H1" s="414"/>
      <c r="I1" s="414"/>
      <c r="J1" s="575"/>
      <c r="K1" s="355"/>
      <c r="L1" s="342"/>
      <c r="M1" s="342"/>
      <c r="N1" s="367"/>
      <c r="O1" s="570"/>
      <c r="P1" s="357"/>
      <c r="Q1" s="567"/>
      <c r="R1" s="416"/>
      <c r="S1" s="567"/>
      <c r="T1" s="343"/>
      <c r="U1" s="368"/>
      <c r="V1" s="367"/>
      <c r="W1" s="368"/>
      <c r="X1" s="368"/>
      <c r="Y1" s="368"/>
      <c r="Z1" s="368"/>
      <c r="AA1" s="367"/>
      <c r="AB1" s="576"/>
      <c r="AC1" s="372"/>
      <c r="AD1" s="372"/>
      <c r="AE1" s="359"/>
      <c r="AF1" s="359"/>
      <c r="AG1" s="359"/>
      <c r="AH1" s="576"/>
      <c r="AI1" s="576"/>
      <c r="AJ1" s="359"/>
      <c r="AK1" s="359"/>
      <c r="AL1" s="359"/>
      <c r="AM1" s="359"/>
      <c r="AN1" s="374"/>
      <c r="AO1" s="377"/>
      <c r="AP1" s="342"/>
      <c r="AQ1" s="535"/>
    </row>
    <row r="2" spans="1:50 16265:16271" ht="13" hidden="1" x14ac:dyDescent="0.25">
      <c r="A2" s="344"/>
      <c r="B2" s="345"/>
      <c r="C2" s="354"/>
      <c r="D2" s="423"/>
      <c r="E2" s="346"/>
      <c r="F2" s="414"/>
      <c r="G2" s="574"/>
      <c r="H2" s="414"/>
      <c r="I2" s="414"/>
      <c r="J2" s="569"/>
      <c r="K2" s="356"/>
      <c r="L2" s="346"/>
      <c r="M2" s="346"/>
      <c r="N2" s="369"/>
      <c r="O2" s="571"/>
      <c r="P2" s="358"/>
      <c r="Q2" s="568"/>
      <c r="R2" s="415"/>
      <c r="S2" s="568"/>
      <c r="T2" s="347"/>
      <c r="U2" s="370"/>
      <c r="V2" s="369"/>
      <c r="W2" s="370"/>
      <c r="X2" s="370"/>
      <c r="Y2" s="370"/>
      <c r="Z2" s="370"/>
      <c r="AA2" s="415"/>
      <c r="AB2" s="577"/>
      <c r="AC2" s="373"/>
      <c r="AD2" s="373"/>
      <c r="AE2" s="360"/>
      <c r="AF2" s="360"/>
      <c r="AG2" s="373"/>
      <c r="AH2" s="577"/>
      <c r="AI2" s="577"/>
      <c r="AJ2" s="360"/>
      <c r="AK2" s="360"/>
      <c r="AL2" s="360"/>
      <c r="AM2" s="360"/>
      <c r="AN2" s="375"/>
      <c r="AO2" s="378"/>
      <c r="AP2" s="345"/>
      <c r="AQ2" s="535"/>
    </row>
    <row r="3" spans="1:50 16265:16271" s="536" customFormat="1" ht="23.25" customHeight="1" x14ac:dyDescent="0.25">
      <c r="A3" s="348"/>
      <c r="B3" s="579" t="s">
        <v>29</v>
      </c>
      <c r="C3" s="579" t="s">
        <v>30</v>
      </c>
      <c r="D3" s="916" t="s">
        <v>279</v>
      </c>
      <c r="E3" s="917"/>
      <c r="F3" s="579" t="s">
        <v>146</v>
      </c>
      <c r="G3" s="916" t="s">
        <v>208</v>
      </c>
      <c r="H3" s="917"/>
      <c r="I3" s="925"/>
      <c r="J3" s="578" t="s">
        <v>31</v>
      </c>
      <c r="K3" s="579" t="s">
        <v>31</v>
      </c>
      <c r="L3" s="917" t="s">
        <v>147</v>
      </c>
      <c r="M3" s="917"/>
      <c r="N3" s="579" t="s">
        <v>147</v>
      </c>
      <c r="O3" s="916" t="s">
        <v>204</v>
      </c>
      <c r="P3" s="917"/>
      <c r="Q3" s="916" t="s">
        <v>282</v>
      </c>
      <c r="R3" s="917"/>
      <c r="S3" s="578" t="s">
        <v>121</v>
      </c>
      <c r="T3" s="579" t="s">
        <v>120</v>
      </c>
      <c r="U3" s="579" t="s">
        <v>33</v>
      </c>
      <c r="V3" s="579" t="s">
        <v>32</v>
      </c>
      <c r="W3" s="579" t="s">
        <v>60</v>
      </c>
      <c r="X3" s="917" t="s">
        <v>285</v>
      </c>
      <c r="Y3" s="917"/>
      <c r="Z3" s="917"/>
      <c r="AA3" s="579" t="s">
        <v>49</v>
      </c>
      <c r="AB3" s="916" t="s">
        <v>286</v>
      </c>
      <c r="AC3" s="917"/>
      <c r="AD3" s="917"/>
      <c r="AE3" s="917"/>
      <c r="AF3" s="917" t="s">
        <v>148</v>
      </c>
      <c r="AG3" s="925"/>
      <c r="AH3" s="578" t="s">
        <v>149</v>
      </c>
      <c r="AI3" s="916" t="s">
        <v>76</v>
      </c>
      <c r="AJ3" s="917"/>
      <c r="AK3" s="917"/>
      <c r="AL3" s="917"/>
      <c r="AM3" s="917"/>
      <c r="AN3" s="371"/>
      <c r="AO3" s="350"/>
      <c r="AP3" s="349" t="s">
        <v>148</v>
      </c>
      <c r="XAO3" s="725"/>
      <c r="XAP3" s="725"/>
      <c r="XAQ3" s="725"/>
      <c r="XAR3" s="725"/>
      <c r="XAS3" s="725"/>
      <c r="XAT3" s="725"/>
      <c r="XAU3" s="725"/>
    </row>
    <row r="4" spans="1:50 16265:16271" s="536" customFormat="1" ht="30" customHeight="1" thickBot="1" x14ac:dyDescent="0.3">
      <c r="A4" s="726"/>
      <c r="B4" s="579"/>
      <c r="C4" s="579" t="s">
        <v>140</v>
      </c>
      <c r="D4" s="916" t="s">
        <v>34</v>
      </c>
      <c r="E4" s="917"/>
      <c r="F4" s="579" t="s">
        <v>150</v>
      </c>
      <c r="G4" s="893" t="s">
        <v>280</v>
      </c>
      <c r="H4" s="917" t="s">
        <v>209</v>
      </c>
      <c r="I4" s="917"/>
      <c r="J4" s="578" t="s">
        <v>151</v>
      </c>
      <c r="K4" s="579" t="s">
        <v>35</v>
      </c>
      <c r="L4" s="917" t="s">
        <v>152</v>
      </c>
      <c r="M4" s="917"/>
      <c r="N4" s="579" t="s">
        <v>152</v>
      </c>
      <c r="O4" s="916" t="s">
        <v>281</v>
      </c>
      <c r="P4" s="917"/>
      <c r="Q4" s="916" t="s">
        <v>153</v>
      </c>
      <c r="R4" s="917"/>
      <c r="S4" s="578" t="s">
        <v>122</v>
      </c>
      <c r="T4" s="579" t="s">
        <v>33</v>
      </c>
      <c r="U4" s="579"/>
      <c r="V4" s="579"/>
      <c r="W4" s="579" t="s">
        <v>284</v>
      </c>
      <c r="X4" s="917"/>
      <c r="Y4" s="917"/>
      <c r="Z4" s="917"/>
      <c r="AA4" s="579"/>
      <c r="AB4" s="916" t="s">
        <v>240</v>
      </c>
      <c r="AC4" s="917"/>
      <c r="AD4" s="917"/>
      <c r="AE4" s="917"/>
      <c r="AF4" s="917" t="s">
        <v>300</v>
      </c>
      <c r="AG4" s="925"/>
      <c r="AH4" s="578" t="s">
        <v>154</v>
      </c>
      <c r="AI4" s="578"/>
      <c r="AJ4" s="579"/>
      <c r="AK4" s="579"/>
      <c r="AL4" s="579"/>
      <c r="AM4" s="579"/>
      <c r="AN4" s="371"/>
      <c r="AO4" s="350"/>
      <c r="AP4" s="350" t="s">
        <v>272</v>
      </c>
      <c r="XAO4" s="725"/>
      <c r="XAP4" s="725"/>
      <c r="XAQ4" s="725"/>
      <c r="XAR4" s="725"/>
      <c r="XAS4" s="725"/>
      <c r="XAT4" s="725"/>
      <c r="XAU4" s="725"/>
    </row>
    <row r="5" spans="1:50 16265:16271" s="536" customFormat="1" ht="18" customHeight="1" x14ac:dyDescent="0.25">
      <c r="A5" s="726"/>
      <c r="B5" s="880" t="s">
        <v>224</v>
      </c>
      <c r="C5" s="579"/>
      <c r="D5" s="578"/>
      <c r="E5" s="579"/>
      <c r="F5" s="579"/>
      <c r="G5" s="578" t="s">
        <v>205</v>
      </c>
      <c r="H5" s="579" t="s">
        <v>205</v>
      </c>
      <c r="I5" s="579" t="e">
        <f>"FAN"&amp;ROUND(B6,1)</f>
        <v>#DIV/0!</v>
      </c>
      <c r="J5" s="578"/>
      <c r="K5" s="579"/>
      <c r="L5" s="917" t="s">
        <v>155</v>
      </c>
      <c r="M5" s="917"/>
      <c r="N5" s="579" t="s">
        <v>157</v>
      </c>
      <c r="O5" s="916" t="s">
        <v>203</v>
      </c>
      <c r="P5" s="917"/>
      <c r="Q5" s="916" t="s">
        <v>156</v>
      </c>
      <c r="R5" s="917"/>
      <c r="S5" s="578" t="s">
        <v>118</v>
      </c>
      <c r="T5" s="579"/>
      <c r="U5" s="579"/>
      <c r="V5" s="579"/>
      <c r="W5" s="874" t="s">
        <v>283</v>
      </c>
      <c r="X5" s="579"/>
      <c r="Y5" s="579"/>
      <c r="Z5" s="579"/>
      <c r="AA5" s="579"/>
      <c r="AB5" s="578"/>
      <c r="AC5" s="579"/>
      <c r="AD5" s="579"/>
      <c r="AE5" s="579"/>
      <c r="AF5" s="891" t="s">
        <v>205</v>
      </c>
      <c r="AG5" s="579" t="e">
        <f>"FAN"&amp;ROUND(B6,1)</f>
        <v>#DIV/0!</v>
      </c>
      <c r="AH5" s="578" t="s">
        <v>158</v>
      </c>
      <c r="AI5" s="727"/>
      <c r="AJ5" s="728"/>
      <c r="AK5" s="728"/>
      <c r="AL5" s="728"/>
      <c r="AM5" s="728"/>
      <c r="AN5" s="729"/>
      <c r="AO5" s="351"/>
      <c r="AP5" s="351"/>
      <c r="XAO5" s="725"/>
      <c r="XAP5" s="725"/>
      <c r="XAQ5" s="725"/>
      <c r="XAR5" s="725"/>
      <c r="XAS5" s="725"/>
      <c r="XAT5" s="725"/>
      <c r="XAU5" s="725"/>
    </row>
    <row r="6" spans="1:50 16265:16271" s="536" customFormat="1" ht="27.75" customHeight="1" thickBot="1" x14ac:dyDescent="0.3">
      <c r="A6" s="726"/>
      <c r="B6" s="898" t="e">
        <f>'Ration Milch'!H9</f>
        <v>#DIV/0!</v>
      </c>
      <c r="C6" s="863" t="s">
        <v>53</v>
      </c>
      <c r="D6" s="727" t="s">
        <v>159</v>
      </c>
      <c r="E6" s="728" t="e">
        <f>"ME_FAN"&amp;ROUND(B6,1)</f>
        <v>#DIV/0!</v>
      </c>
      <c r="F6" s="863" t="s">
        <v>160</v>
      </c>
      <c r="G6" s="727" t="s">
        <v>206</v>
      </c>
      <c r="H6" s="926" t="s">
        <v>210</v>
      </c>
      <c r="I6" s="926"/>
      <c r="J6" s="864" t="s">
        <v>161</v>
      </c>
      <c r="K6" s="863" t="s">
        <v>163</v>
      </c>
      <c r="L6" s="728" t="s">
        <v>162</v>
      </c>
      <c r="M6" s="728" t="e">
        <f>"sidP_FAN"&amp;ROUND(B6,1)</f>
        <v>#DIV/0!</v>
      </c>
      <c r="N6" s="728" t="s">
        <v>164</v>
      </c>
      <c r="O6" s="864" t="s">
        <v>165</v>
      </c>
      <c r="P6" s="728" t="e">
        <f>"OMD_FAN"&amp;ROUND(B6,1)</f>
        <v>#DIV/0!</v>
      </c>
      <c r="Q6" s="727" t="s">
        <v>196</v>
      </c>
      <c r="R6" s="728" t="e">
        <f>"RMD_FAN"&amp;ROUND(B6,1)</f>
        <v>#DIV/0!</v>
      </c>
      <c r="S6" s="727" t="s">
        <v>142</v>
      </c>
      <c r="T6" s="863" t="s">
        <v>145</v>
      </c>
      <c r="U6" s="863" t="s">
        <v>167</v>
      </c>
      <c r="V6" s="863" t="s">
        <v>143</v>
      </c>
      <c r="W6" s="863" t="s">
        <v>59</v>
      </c>
      <c r="X6" s="863" t="s">
        <v>124</v>
      </c>
      <c r="Y6" s="863" t="s">
        <v>125</v>
      </c>
      <c r="Z6" s="863" t="s">
        <v>166</v>
      </c>
      <c r="AA6" s="863" t="s">
        <v>144</v>
      </c>
      <c r="AB6" s="864" t="s">
        <v>37</v>
      </c>
      <c r="AC6" s="863" t="s">
        <v>69</v>
      </c>
      <c r="AD6" s="863" t="s">
        <v>75</v>
      </c>
      <c r="AE6" s="863" t="s">
        <v>168</v>
      </c>
      <c r="AF6" s="923" t="s">
        <v>71</v>
      </c>
      <c r="AG6" s="924"/>
      <c r="AH6" s="864" t="s">
        <v>169</v>
      </c>
      <c r="AI6" s="864" t="s">
        <v>21</v>
      </c>
      <c r="AJ6" s="863" t="s">
        <v>22</v>
      </c>
      <c r="AK6" s="863" t="s">
        <v>24</v>
      </c>
      <c r="AL6" s="863" t="s">
        <v>23</v>
      </c>
      <c r="AM6" s="863" t="s">
        <v>25</v>
      </c>
      <c r="AN6" s="865" t="s">
        <v>90</v>
      </c>
      <c r="AO6" s="866" t="s">
        <v>101</v>
      </c>
      <c r="AP6" s="351" t="s">
        <v>71</v>
      </c>
      <c r="AR6" s="536" t="e">
        <f>"MCP_FAN"&amp;ROUND(B6,1)</f>
        <v>#DIV/0!</v>
      </c>
      <c r="AS6" s="536" t="s">
        <v>275</v>
      </c>
      <c r="AT6" s="536" t="e">
        <f>"RDP_FAN"&amp;ROUND(B6,1)</f>
        <v>#DIV/0!</v>
      </c>
      <c r="AU6" s="536" t="s">
        <v>269</v>
      </c>
      <c r="AV6" s="536" t="s">
        <v>274</v>
      </c>
      <c r="AW6" s="536" t="s">
        <v>276</v>
      </c>
      <c r="AX6" s="536" t="s">
        <v>273</v>
      </c>
      <c r="XAO6" s="725"/>
      <c r="XAP6" s="725"/>
      <c r="XAQ6" s="725"/>
      <c r="XAR6" s="725"/>
      <c r="XAS6" s="725"/>
      <c r="XAT6" s="725"/>
      <c r="XAU6" s="725"/>
    </row>
    <row r="7" spans="1:50 16265:16271" s="536" customFormat="1" ht="11.5" x14ac:dyDescent="0.25">
      <c r="A7" s="731"/>
      <c r="B7" s="579"/>
      <c r="C7" s="732" t="s">
        <v>62</v>
      </c>
      <c r="D7" s="918" t="s">
        <v>61</v>
      </c>
      <c r="E7" s="919"/>
      <c r="F7" s="920"/>
      <c r="G7" s="918" t="s">
        <v>207</v>
      </c>
      <c r="H7" s="919"/>
      <c r="I7" s="920"/>
      <c r="J7" s="918" t="s">
        <v>89</v>
      </c>
      <c r="K7" s="919"/>
      <c r="L7" s="919"/>
      <c r="M7" s="919"/>
      <c r="N7" s="919"/>
      <c r="O7" s="918" t="s">
        <v>170</v>
      </c>
      <c r="P7" s="920"/>
      <c r="Q7" s="918" t="s">
        <v>195</v>
      </c>
      <c r="R7" s="920"/>
      <c r="S7" s="918" t="s">
        <v>89</v>
      </c>
      <c r="T7" s="919"/>
      <c r="U7" s="919"/>
      <c r="V7" s="919"/>
      <c r="W7" s="919"/>
      <c r="X7" s="919"/>
      <c r="Y7" s="919"/>
      <c r="Z7" s="919"/>
      <c r="AA7" s="920"/>
      <c r="AB7" s="918" t="s">
        <v>6</v>
      </c>
      <c r="AC7" s="919"/>
      <c r="AD7" s="732" t="s">
        <v>171</v>
      </c>
      <c r="AE7" s="732" t="s">
        <v>172</v>
      </c>
      <c r="AF7" s="919" t="s">
        <v>171</v>
      </c>
      <c r="AG7" s="920"/>
      <c r="AH7" s="733" t="s">
        <v>173</v>
      </c>
      <c r="AI7" s="921" t="s">
        <v>89</v>
      </c>
      <c r="AJ7" s="922"/>
      <c r="AK7" s="922"/>
      <c r="AL7" s="922"/>
      <c r="AM7" s="922"/>
      <c r="AN7" s="734" t="s">
        <v>92</v>
      </c>
      <c r="AO7" s="735" t="s">
        <v>102</v>
      </c>
      <c r="AP7" s="352" t="s">
        <v>171</v>
      </c>
      <c r="AR7" s="536" t="s">
        <v>89</v>
      </c>
      <c r="AU7" s="536" t="s">
        <v>270</v>
      </c>
      <c r="XAO7" s="725"/>
      <c r="XAP7" s="725"/>
      <c r="XAQ7" s="725"/>
      <c r="XAR7" s="725"/>
      <c r="XAS7" s="725"/>
      <c r="XAT7" s="725"/>
      <c r="XAU7" s="725"/>
    </row>
    <row r="8" spans="1:50 16265:16271" s="536" customFormat="1" ht="17.25" hidden="1" customHeight="1" x14ac:dyDescent="0.25">
      <c r="A8" s="736" t="s">
        <v>193</v>
      </c>
      <c r="B8" s="737"/>
      <c r="C8" s="738">
        <v>1E-3</v>
      </c>
      <c r="D8" s="738">
        <v>0</v>
      </c>
      <c r="E8" s="739"/>
      <c r="F8" s="740">
        <v>0</v>
      </c>
      <c r="G8" s="738"/>
      <c r="H8" s="740"/>
      <c r="I8" s="740"/>
      <c r="J8" s="738">
        <v>0</v>
      </c>
      <c r="K8" s="739">
        <v>0</v>
      </c>
      <c r="L8" s="739">
        <v>0</v>
      </c>
      <c r="M8" s="739"/>
      <c r="N8" s="739">
        <v>0</v>
      </c>
      <c r="O8" s="738">
        <v>0</v>
      </c>
      <c r="P8" s="739"/>
      <c r="Q8" s="738">
        <v>0</v>
      </c>
      <c r="R8" s="740"/>
      <c r="S8" s="738">
        <v>0</v>
      </c>
      <c r="T8" s="739">
        <v>0</v>
      </c>
      <c r="U8" s="739">
        <v>0</v>
      </c>
      <c r="V8" s="741">
        <v>0</v>
      </c>
      <c r="W8" s="730"/>
      <c r="X8" s="739">
        <v>0</v>
      </c>
      <c r="Y8" s="739"/>
      <c r="Z8" s="739">
        <v>0</v>
      </c>
      <c r="AA8" s="742">
        <v>0</v>
      </c>
      <c r="AB8" s="743">
        <v>0</v>
      </c>
      <c r="AC8" s="742"/>
      <c r="AD8" s="742"/>
      <c r="AE8" s="742"/>
      <c r="AF8" s="742"/>
      <c r="AG8" s="742"/>
      <c r="AH8" s="743"/>
      <c r="AI8" s="915"/>
      <c r="AJ8" s="915"/>
      <c r="AK8" s="915"/>
      <c r="AL8" s="915"/>
      <c r="AM8" s="915"/>
      <c r="AN8" s="744"/>
      <c r="AO8" s="745"/>
      <c r="AP8" s="361"/>
      <c r="XAO8" s="725"/>
      <c r="XAP8" s="725"/>
      <c r="XAQ8" s="725"/>
      <c r="XAR8" s="725"/>
      <c r="XAS8" s="725"/>
      <c r="XAT8" s="725"/>
      <c r="XAU8" s="725"/>
    </row>
    <row r="9" spans="1:50 16265:16271" s="536" customFormat="1" ht="17.25" hidden="1" customHeight="1" x14ac:dyDescent="0.25">
      <c r="A9" s="746"/>
      <c r="B9" s="747"/>
      <c r="C9" s="748"/>
      <c r="D9" s="749"/>
      <c r="E9" s="750"/>
      <c r="F9" s="751"/>
      <c r="G9" s="749"/>
      <c r="H9" s="751"/>
      <c r="I9" s="751"/>
      <c r="J9" s="748"/>
      <c r="K9" s="750"/>
      <c r="L9" s="538"/>
      <c r="M9" s="538"/>
      <c r="N9" s="752"/>
      <c r="O9" s="753"/>
      <c r="P9" s="752"/>
      <c r="Q9" s="753"/>
      <c r="R9" s="754"/>
      <c r="S9" s="748"/>
      <c r="T9" s="538"/>
      <c r="U9" s="752"/>
      <c r="V9" s="750"/>
      <c r="W9" s="538"/>
      <c r="X9" s="538"/>
      <c r="Y9" s="538"/>
      <c r="Z9" s="538"/>
      <c r="AA9" s="751"/>
      <c r="AB9" s="748"/>
      <c r="AC9" s="538"/>
      <c r="AD9" s="538"/>
      <c r="AE9" s="538"/>
      <c r="AF9" s="538"/>
      <c r="AG9" s="538"/>
      <c r="AH9" s="748"/>
      <c r="AI9" s="748"/>
      <c r="AJ9" s="538"/>
      <c r="AK9" s="538"/>
      <c r="AL9" s="538"/>
      <c r="AM9" s="538"/>
      <c r="AN9" s="755"/>
      <c r="AO9" s="756"/>
      <c r="AP9" s="361"/>
      <c r="XAO9" s="725"/>
      <c r="XAP9" s="725"/>
      <c r="XAQ9" s="725"/>
      <c r="XAR9" s="725"/>
      <c r="XAS9" s="725"/>
      <c r="XAT9" s="725"/>
      <c r="XAU9" s="725"/>
    </row>
    <row r="10" spans="1:50 16265:16271" s="536" customFormat="1" ht="17.25" hidden="1" customHeight="1" x14ac:dyDescent="0.25">
      <c r="A10" s="746"/>
      <c r="B10" s="747"/>
      <c r="C10" s="748"/>
      <c r="D10" s="749"/>
      <c r="E10" s="750"/>
      <c r="F10" s="751"/>
      <c r="G10" s="749"/>
      <c r="H10" s="751"/>
      <c r="I10" s="751"/>
      <c r="J10" s="748"/>
      <c r="K10" s="750"/>
      <c r="L10" s="538"/>
      <c r="M10" s="538"/>
      <c r="N10" s="752"/>
      <c r="O10" s="753"/>
      <c r="P10" s="752"/>
      <c r="Q10" s="753"/>
      <c r="R10" s="754"/>
      <c r="S10" s="748"/>
      <c r="T10" s="538"/>
      <c r="U10" s="752"/>
      <c r="V10" s="750"/>
      <c r="W10" s="538"/>
      <c r="X10" s="538"/>
      <c r="Y10" s="538"/>
      <c r="Z10" s="538"/>
      <c r="AA10" s="751"/>
      <c r="AB10" s="748"/>
      <c r="AC10" s="538"/>
      <c r="AD10" s="538"/>
      <c r="AE10" s="538"/>
      <c r="AF10" s="538"/>
      <c r="AG10" s="538"/>
      <c r="AH10" s="748"/>
      <c r="AI10" s="748"/>
      <c r="AJ10" s="538"/>
      <c r="AK10" s="538"/>
      <c r="AL10" s="538"/>
      <c r="AM10" s="538"/>
      <c r="AN10" s="755"/>
      <c r="AO10" s="756"/>
      <c r="AP10" s="361"/>
      <c r="XAO10" s="725"/>
      <c r="XAP10" s="725"/>
      <c r="XAQ10" s="725"/>
      <c r="XAR10" s="725"/>
      <c r="XAS10" s="725"/>
      <c r="XAT10" s="725"/>
      <c r="XAU10" s="725"/>
    </row>
    <row r="11" spans="1:50 16265:16271" s="536" customFormat="1" ht="17.25" hidden="1" customHeight="1" x14ac:dyDescent="0.25">
      <c r="A11" s="746"/>
      <c r="B11" s="747"/>
      <c r="C11" s="748"/>
      <c r="D11" s="749"/>
      <c r="E11" s="750"/>
      <c r="F11" s="751"/>
      <c r="G11" s="749"/>
      <c r="H11" s="751"/>
      <c r="I11" s="751"/>
      <c r="J11" s="748"/>
      <c r="K11" s="750"/>
      <c r="L11" s="538"/>
      <c r="M11" s="538"/>
      <c r="N11" s="752"/>
      <c r="O11" s="753"/>
      <c r="P11" s="752"/>
      <c r="Q11" s="753"/>
      <c r="R11" s="754"/>
      <c r="S11" s="748"/>
      <c r="T11" s="538"/>
      <c r="U11" s="752"/>
      <c r="V11" s="750"/>
      <c r="W11" s="538"/>
      <c r="X11" s="538"/>
      <c r="Y11" s="538"/>
      <c r="Z11" s="538"/>
      <c r="AA11" s="751"/>
      <c r="AB11" s="748"/>
      <c r="AC11" s="538"/>
      <c r="AD11" s="538"/>
      <c r="AE11" s="538"/>
      <c r="AF11" s="538"/>
      <c r="AG11" s="538"/>
      <c r="AH11" s="748"/>
      <c r="AI11" s="748"/>
      <c r="AJ11" s="538"/>
      <c r="AK11" s="538"/>
      <c r="AL11" s="538"/>
      <c r="AM11" s="538"/>
      <c r="AN11" s="755"/>
      <c r="AO11" s="756"/>
      <c r="AP11" s="361"/>
      <c r="XAO11" s="725"/>
      <c r="XAP11" s="725"/>
      <c r="XAQ11" s="725"/>
      <c r="XAR11" s="725"/>
      <c r="XAS11" s="725"/>
      <c r="XAT11" s="725"/>
      <c r="XAU11" s="725"/>
    </row>
    <row r="12" spans="1:50 16265:16271" s="536" customFormat="1" ht="17.25" hidden="1" customHeight="1" x14ac:dyDescent="0.25">
      <c r="A12" s="746"/>
      <c r="B12" s="747"/>
      <c r="C12" s="748"/>
      <c r="D12" s="749"/>
      <c r="E12" s="750"/>
      <c r="F12" s="751"/>
      <c r="G12" s="749"/>
      <c r="H12" s="751"/>
      <c r="I12" s="751"/>
      <c r="J12" s="748"/>
      <c r="K12" s="750"/>
      <c r="L12" s="538"/>
      <c r="M12" s="538"/>
      <c r="N12" s="752"/>
      <c r="O12" s="753"/>
      <c r="P12" s="752"/>
      <c r="Q12" s="753"/>
      <c r="R12" s="754"/>
      <c r="S12" s="748"/>
      <c r="T12" s="538"/>
      <c r="U12" s="752"/>
      <c r="V12" s="750"/>
      <c r="W12" s="538"/>
      <c r="X12" s="538"/>
      <c r="Y12" s="538"/>
      <c r="Z12" s="538"/>
      <c r="AA12" s="751"/>
      <c r="AB12" s="748"/>
      <c r="AC12" s="538"/>
      <c r="AD12" s="538"/>
      <c r="AE12" s="538"/>
      <c r="AF12" s="538"/>
      <c r="AG12" s="538"/>
      <c r="AH12" s="748"/>
      <c r="AI12" s="748"/>
      <c r="AJ12" s="538"/>
      <c r="AK12" s="538"/>
      <c r="AL12" s="538"/>
      <c r="AM12" s="538"/>
      <c r="AN12" s="755"/>
      <c r="AO12" s="756"/>
      <c r="AP12" s="361"/>
      <c r="XAO12" s="725"/>
      <c r="XAP12" s="725"/>
      <c r="XAQ12" s="725"/>
      <c r="XAR12" s="725"/>
      <c r="XAS12" s="725"/>
      <c r="XAT12" s="725"/>
      <c r="XAU12" s="725"/>
    </row>
    <row r="13" spans="1:50 16265:16271" s="536" customFormat="1" ht="17.25" hidden="1" customHeight="1" x14ac:dyDescent="0.25">
      <c r="A13" s="746"/>
      <c r="B13" s="747"/>
      <c r="C13" s="748"/>
      <c r="D13" s="749"/>
      <c r="E13" s="750"/>
      <c r="F13" s="751"/>
      <c r="G13" s="749"/>
      <c r="H13" s="751"/>
      <c r="I13" s="751"/>
      <c r="J13" s="748"/>
      <c r="K13" s="750"/>
      <c r="L13" s="538"/>
      <c r="M13" s="538"/>
      <c r="N13" s="752"/>
      <c r="O13" s="753"/>
      <c r="P13" s="752"/>
      <c r="Q13" s="753"/>
      <c r="R13" s="754"/>
      <c r="S13" s="748"/>
      <c r="T13" s="538"/>
      <c r="U13" s="752"/>
      <c r="V13" s="750"/>
      <c r="W13" s="538"/>
      <c r="X13" s="538"/>
      <c r="Y13" s="538"/>
      <c r="Z13" s="538"/>
      <c r="AA13" s="751"/>
      <c r="AB13" s="748"/>
      <c r="AC13" s="538"/>
      <c r="AD13" s="538"/>
      <c r="AE13" s="538"/>
      <c r="AF13" s="538"/>
      <c r="AG13" s="538"/>
      <c r="AH13" s="748"/>
      <c r="AI13" s="748"/>
      <c r="AJ13" s="538"/>
      <c r="AK13" s="538"/>
      <c r="AL13" s="538"/>
      <c r="AM13" s="538"/>
      <c r="AN13" s="755"/>
      <c r="AO13" s="756"/>
      <c r="AP13" s="361"/>
      <c r="XAO13" s="725"/>
      <c r="XAP13" s="725"/>
      <c r="XAQ13" s="725"/>
      <c r="XAR13" s="725"/>
      <c r="XAS13" s="725"/>
      <c r="XAT13" s="725"/>
      <c r="XAU13" s="725"/>
    </row>
    <row r="14" spans="1:50 16265:16271" s="536" customFormat="1" ht="17.25" hidden="1" customHeight="1" x14ac:dyDescent="0.25">
      <c r="A14" s="746"/>
      <c r="B14" s="747"/>
      <c r="C14" s="748"/>
      <c r="D14" s="749"/>
      <c r="E14" s="750"/>
      <c r="F14" s="751"/>
      <c r="G14" s="749"/>
      <c r="H14" s="751"/>
      <c r="I14" s="751"/>
      <c r="J14" s="748"/>
      <c r="K14" s="750"/>
      <c r="L14" s="538"/>
      <c r="M14" s="538"/>
      <c r="N14" s="752"/>
      <c r="O14" s="753"/>
      <c r="P14" s="752"/>
      <c r="Q14" s="753"/>
      <c r="R14" s="754"/>
      <c r="S14" s="748"/>
      <c r="T14" s="538"/>
      <c r="U14" s="752"/>
      <c r="V14" s="750"/>
      <c r="W14" s="538"/>
      <c r="X14" s="538"/>
      <c r="Y14" s="538"/>
      <c r="Z14" s="538"/>
      <c r="AA14" s="751"/>
      <c r="AB14" s="748"/>
      <c r="AC14" s="538"/>
      <c r="AD14" s="538"/>
      <c r="AE14" s="538"/>
      <c r="AF14" s="538"/>
      <c r="AG14" s="538"/>
      <c r="AH14" s="748"/>
      <c r="AI14" s="748"/>
      <c r="AJ14" s="538"/>
      <c r="AK14" s="538"/>
      <c r="AL14" s="538"/>
      <c r="AM14" s="538"/>
      <c r="AN14" s="755"/>
      <c r="AO14" s="756"/>
      <c r="AP14" s="361"/>
      <c r="XAO14" s="725"/>
      <c r="XAP14" s="725"/>
      <c r="XAQ14" s="725"/>
      <c r="XAR14" s="725"/>
      <c r="XAS14" s="725"/>
      <c r="XAT14" s="725"/>
      <c r="XAU14" s="725"/>
    </row>
    <row r="15" spans="1:50 16265:16271" s="536" customFormat="1" ht="17.25" hidden="1" customHeight="1" x14ac:dyDescent="0.25">
      <c r="A15" s="746"/>
      <c r="B15" s="747"/>
      <c r="C15" s="748"/>
      <c r="D15" s="749"/>
      <c r="E15" s="750"/>
      <c r="F15" s="751"/>
      <c r="G15" s="749"/>
      <c r="H15" s="751"/>
      <c r="I15" s="751"/>
      <c r="J15" s="748"/>
      <c r="K15" s="750"/>
      <c r="L15" s="538"/>
      <c r="M15" s="538"/>
      <c r="N15" s="752"/>
      <c r="O15" s="753"/>
      <c r="P15" s="752"/>
      <c r="Q15" s="753"/>
      <c r="R15" s="754"/>
      <c r="S15" s="748"/>
      <c r="T15" s="538"/>
      <c r="U15" s="752"/>
      <c r="V15" s="750"/>
      <c r="W15" s="538"/>
      <c r="X15" s="538"/>
      <c r="Y15" s="538"/>
      <c r="Z15" s="538"/>
      <c r="AA15" s="751"/>
      <c r="AB15" s="748"/>
      <c r="AC15" s="538"/>
      <c r="AD15" s="538"/>
      <c r="AE15" s="538"/>
      <c r="AF15" s="538"/>
      <c r="AG15" s="538"/>
      <c r="AH15" s="748"/>
      <c r="AI15" s="748"/>
      <c r="AJ15" s="538"/>
      <c r="AK15" s="538"/>
      <c r="AL15" s="538"/>
      <c r="AM15" s="538"/>
      <c r="AN15" s="755"/>
      <c r="AO15" s="756"/>
      <c r="AP15" s="361"/>
      <c r="XAO15" s="725"/>
      <c r="XAP15" s="725"/>
      <c r="XAQ15" s="725"/>
      <c r="XAR15" s="725"/>
      <c r="XAS15" s="725"/>
      <c r="XAT15" s="725"/>
      <c r="XAU15" s="725"/>
    </row>
    <row r="16" spans="1:50 16265:16271" s="536" customFormat="1" ht="17.25" hidden="1" customHeight="1" x14ac:dyDescent="0.25">
      <c r="A16" s="746"/>
      <c r="B16" s="747"/>
      <c r="C16" s="748"/>
      <c r="D16" s="749"/>
      <c r="E16" s="750"/>
      <c r="F16" s="751"/>
      <c r="G16" s="749"/>
      <c r="H16" s="751"/>
      <c r="I16" s="751"/>
      <c r="J16" s="748"/>
      <c r="K16" s="750"/>
      <c r="L16" s="538"/>
      <c r="M16" s="538"/>
      <c r="N16" s="752"/>
      <c r="O16" s="753"/>
      <c r="P16" s="752"/>
      <c r="Q16" s="753"/>
      <c r="R16" s="754"/>
      <c r="S16" s="748"/>
      <c r="T16" s="538"/>
      <c r="U16" s="752"/>
      <c r="V16" s="750"/>
      <c r="W16" s="538"/>
      <c r="X16" s="538"/>
      <c r="Y16" s="538"/>
      <c r="Z16" s="538"/>
      <c r="AA16" s="751"/>
      <c r="AB16" s="748"/>
      <c r="AC16" s="538"/>
      <c r="AD16" s="538"/>
      <c r="AE16" s="538"/>
      <c r="AF16" s="538"/>
      <c r="AG16" s="538"/>
      <c r="AH16" s="748"/>
      <c r="AI16" s="748"/>
      <c r="AJ16" s="538"/>
      <c r="AK16" s="538"/>
      <c r="AL16" s="538"/>
      <c r="AM16" s="538"/>
      <c r="AN16" s="755"/>
      <c r="AO16" s="756"/>
      <c r="AP16" s="361"/>
      <c r="XAO16" s="725"/>
      <c r="XAP16" s="725"/>
      <c r="XAQ16" s="725"/>
      <c r="XAR16" s="725"/>
      <c r="XAS16" s="725"/>
      <c r="XAT16" s="725"/>
      <c r="XAU16" s="725"/>
    </row>
    <row r="17" spans="1:42 16265:16271" s="536" customFormat="1" ht="17.25" hidden="1" customHeight="1" x14ac:dyDescent="0.25">
      <c r="A17" s="746"/>
      <c r="B17" s="747"/>
      <c r="C17" s="748"/>
      <c r="D17" s="749"/>
      <c r="E17" s="750"/>
      <c r="F17" s="751"/>
      <c r="G17" s="749"/>
      <c r="H17" s="751"/>
      <c r="I17" s="751"/>
      <c r="J17" s="748"/>
      <c r="K17" s="750"/>
      <c r="L17" s="538"/>
      <c r="M17" s="538"/>
      <c r="N17" s="752"/>
      <c r="O17" s="753"/>
      <c r="P17" s="752"/>
      <c r="Q17" s="753"/>
      <c r="R17" s="754"/>
      <c r="S17" s="748"/>
      <c r="T17" s="538"/>
      <c r="U17" s="752"/>
      <c r="V17" s="750"/>
      <c r="W17" s="538"/>
      <c r="X17" s="538"/>
      <c r="Y17" s="538"/>
      <c r="Z17" s="538"/>
      <c r="AA17" s="751"/>
      <c r="AB17" s="748"/>
      <c r="AC17" s="538"/>
      <c r="AD17" s="538"/>
      <c r="AE17" s="538"/>
      <c r="AF17" s="538"/>
      <c r="AG17" s="538"/>
      <c r="AH17" s="748"/>
      <c r="AI17" s="748"/>
      <c r="AJ17" s="538"/>
      <c r="AK17" s="538"/>
      <c r="AL17" s="538"/>
      <c r="AM17" s="538"/>
      <c r="AN17" s="755"/>
      <c r="AO17" s="756"/>
      <c r="AP17" s="361"/>
      <c r="XAO17" s="725"/>
      <c r="XAP17" s="725"/>
      <c r="XAQ17" s="725"/>
      <c r="XAR17" s="725"/>
      <c r="XAS17" s="725"/>
      <c r="XAT17" s="725"/>
      <c r="XAU17" s="725"/>
    </row>
    <row r="18" spans="1:42 16265:16271" s="536" customFormat="1" ht="17.25" hidden="1" customHeight="1" x14ac:dyDescent="0.25">
      <c r="A18" s="746"/>
      <c r="B18" s="747"/>
      <c r="C18" s="748"/>
      <c r="D18" s="749"/>
      <c r="E18" s="750"/>
      <c r="F18" s="751"/>
      <c r="G18" s="749"/>
      <c r="H18" s="751"/>
      <c r="I18" s="751"/>
      <c r="J18" s="748"/>
      <c r="K18" s="750"/>
      <c r="L18" s="538"/>
      <c r="M18" s="538"/>
      <c r="N18" s="752"/>
      <c r="O18" s="753"/>
      <c r="P18" s="752"/>
      <c r="Q18" s="753"/>
      <c r="R18" s="754"/>
      <c r="S18" s="748"/>
      <c r="T18" s="538"/>
      <c r="U18" s="752"/>
      <c r="V18" s="750"/>
      <c r="W18" s="538"/>
      <c r="X18" s="538"/>
      <c r="Y18" s="538"/>
      <c r="Z18" s="538"/>
      <c r="AA18" s="751"/>
      <c r="AB18" s="748"/>
      <c r="AC18" s="538"/>
      <c r="AD18" s="538"/>
      <c r="AE18" s="538"/>
      <c r="AF18" s="538"/>
      <c r="AG18" s="538"/>
      <c r="AH18" s="748"/>
      <c r="AI18" s="748"/>
      <c r="AJ18" s="538"/>
      <c r="AK18" s="538"/>
      <c r="AL18" s="538"/>
      <c r="AM18" s="538"/>
      <c r="AN18" s="755"/>
      <c r="AO18" s="756"/>
      <c r="AP18" s="361"/>
      <c r="XAO18" s="725"/>
      <c r="XAP18" s="725"/>
      <c r="XAQ18" s="725"/>
      <c r="XAR18" s="725"/>
      <c r="XAS18" s="725"/>
      <c r="XAT18" s="725"/>
      <c r="XAU18" s="725"/>
    </row>
    <row r="19" spans="1:42 16265:16271" s="536" customFormat="1" ht="17.25" hidden="1" customHeight="1" x14ac:dyDescent="0.25">
      <c r="A19" s="746"/>
      <c r="B19" s="747"/>
      <c r="C19" s="748"/>
      <c r="D19" s="749"/>
      <c r="E19" s="750"/>
      <c r="F19" s="751"/>
      <c r="G19" s="749"/>
      <c r="H19" s="751"/>
      <c r="I19" s="751"/>
      <c r="J19" s="748"/>
      <c r="K19" s="750"/>
      <c r="L19" s="538"/>
      <c r="M19" s="538"/>
      <c r="N19" s="752"/>
      <c r="O19" s="753"/>
      <c r="P19" s="752"/>
      <c r="Q19" s="753"/>
      <c r="R19" s="754"/>
      <c r="S19" s="748"/>
      <c r="T19" s="538"/>
      <c r="U19" s="752"/>
      <c r="V19" s="750"/>
      <c r="W19" s="538"/>
      <c r="X19" s="538"/>
      <c r="Y19" s="538"/>
      <c r="Z19" s="538"/>
      <c r="AA19" s="751"/>
      <c r="AB19" s="748"/>
      <c r="AC19" s="538"/>
      <c r="AD19" s="538"/>
      <c r="AE19" s="538"/>
      <c r="AF19" s="538"/>
      <c r="AG19" s="538"/>
      <c r="AH19" s="748"/>
      <c r="AI19" s="748"/>
      <c r="AJ19" s="538"/>
      <c r="AK19" s="538"/>
      <c r="AL19" s="538"/>
      <c r="AM19" s="538"/>
      <c r="AN19" s="755"/>
      <c r="AO19" s="756"/>
      <c r="AP19" s="361"/>
      <c r="XAO19" s="725"/>
      <c r="XAP19" s="725"/>
      <c r="XAQ19" s="725"/>
      <c r="XAR19" s="725"/>
      <c r="XAS19" s="725"/>
      <c r="XAT19" s="725"/>
      <c r="XAU19" s="725"/>
    </row>
    <row r="20" spans="1:42 16265:16271" s="536" customFormat="1" ht="17.25" hidden="1" customHeight="1" x14ac:dyDescent="0.25">
      <c r="A20" s="746"/>
      <c r="B20" s="747"/>
      <c r="C20" s="748"/>
      <c r="D20" s="749"/>
      <c r="E20" s="750"/>
      <c r="F20" s="751"/>
      <c r="G20" s="749"/>
      <c r="H20" s="751"/>
      <c r="I20" s="751"/>
      <c r="J20" s="748"/>
      <c r="K20" s="750"/>
      <c r="L20" s="538"/>
      <c r="M20" s="538"/>
      <c r="N20" s="752"/>
      <c r="O20" s="753"/>
      <c r="P20" s="752"/>
      <c r="Q20" s="753"/>
      <c r="R20" s="754"/>
      <c r="S20" s="748"/>
      <c r="T20" s="538"/>
      <c r="U20" s="752"/>
      <c r="V20" s="750"/>
      <c r="W20" s="538"/>
      <c r="X20" s="538"/>
      <c r="Y20" s="538"/>
      <c r="Z20" s="538"/>
      <c r="AA20" s="751"/>
      <c r="AB20" s="748"/>
      <c r="AC20" s="538"/>
      <c r="AD20" s="538"/>
      <c r="AE20" s="538"/>
      <c r="AF20" s="538"/>
      <c r="AG20" s="538"/>
      <c r="AH20" s="748"/>
      <c r="AI20" s="748"/>
      <c r="AJ20" s="538"/>
      <c r="AK20" s="538"/>
      <c r="AL20" s="538"/>
      <c r="AM20" s="538"/>
      <c r="AN20" s="755"/>
      <c r="AO20" s="756"/>
      <c r="AP20" s="361"/>
      <c r="XAO20" s="725"/>
      <c r="XAP20" s="725"/>
      <c r="XAQ20" s="725"/>
      <c r="XAR20" s="725"/>
      <c r="XAS20" s="725"/>
      <c r="XAT20" s="725"/>
      <c r="XAU20" s="725"/>
    </row>
    <row r="21" spans="1:42 16265:16271" s="536" customFormat="1" ht="17.25" hidden="1" customHeight="1" x14ac:dyDescent="0.25">
      <c r="A21" s="746"/>
      <c r="B21" s="747"/>
      <c r="C21" s="748"/>
      <c r="D21" s="749"/>
      <c r="E21" s="750"/>
      <c r="F21" s="751"/>
      <c r="G21" s="749"/>
      <c r="H21" s="751"/>
      <c r="I21" s="751"/>
      <c r="J21" s="748"/>
      <c r="K21" s="750"/>
      <c r="L21" s="538"/>
      <c r="M21" s="538"/>
      <c r="N21" s="752"/>
      <c r="O21" s="753"/>
      <c r="P21" s="752"/>
      <c r="Q21" s="753"/>
      <c r="R21" s="754"/>
      <c r="S21" s="748"/>
      <c r="T21" s="538"/>
      <c r="U21" s="752"/>
      <c r="V21" s="750"/>
      <c r="W21" s="538"/>
      <c r="X21" s="538"/>
      <c r="Y21" s="538"/>
      <c r="Z21" s="538"/>
      <c r="AA21" s="751"/>
      <c r="AB21" s="748"/>
      <c r="AC21" s="538"/>
      <c r="AD21" s="538"/>
      <c r="AE21" s="538"/>
      <c r="AF21" s="538"/>
      <c r="AG21" s="538"/>
      <c r="AH21" s="748"/>
      <c r="AI21" s="748"/>
      <c r="AJ21" s="538"/>
      <c r="AK21" s="538"/>
      <c r="AL21" s="538"/>
      <c r="AM21" s="538"/>
      <c r="AN21" s="755"/>
      <c r="AO21" s="756"/>
      <c r="AP21" s="361"/>
      <c r="XAO21" s="725"/>
      <c r="XAP21" s="725"/>
      <c r="XAQ21" s="725"/>
      <c r="XAR21" s="725"/>
      <c r="XAS21" s="725"/>
      <c r="XAT21" s="725"/>
      <c r="XAU21" s="725"/>
    </row>
    <row r="22" spans="1:42 16265:16271" s="536" customFormat="1" ht="17.25" hidden="1" customHeight="1" x14ac:dyDescent="0.25">
      <c r="A22" s="746"/>
      <c r="B22" s="747"/>
      <c r="C22" s="748"/>
      <c r="D22" s="749"/>
      <c r="E22" s="750"/>
      <c r="F22" s="751"/>
      <c r="G22" s="749"/>
      <c r="H22" s="751"/>
      <c r="I22" s="751"/>
      <c r="J22" s="748"/>
      <c r="K22" s="750"/>
      <c r="L22" s="538"/>
      <c r="M22" s="538"/>
      <c r="N22" s="752"/>
      <c r="O22" s="753"/>
      <c r="P22" s="752"/>
      <c r="Q22" s="753"/>
      <c r="R22" s="754"/>
      <c r="S22" s="748"/>
      <c r="T22" s="538"/>
      <c r="U22" s="752"/>
      <c r="V22" s="750"/>
      <c r="W22" s="538"/>
      <c r="X22" s="538"/>
      <c r="Y22" s="538"/>
      <c r="Z22" s="538"/>
      <c r="AA22" s="751"/>
      <c r="AB22" s="748"/>
      <c r="AC22" s="538"/>
      <c r="AD22" s="538"/>
      <c r="AE22" s="538"/>
      <c r="AF22" s="538"/>
      <c r="AG22" s="538"/>
      <c r="AH22" s="748"/>
      <c r="AI22" s="748"/>
      <c r="AJ22" s="538"/>
      <c r="AK22" s="538"/>
      <c r="AL22" s="538"/>
      <c r="AM22" s="538"/>
      <c r="AN22" s="755"/>
      <c r="AO22" s="756"/>
      <c r="AP22" s="361"/>
      <c r="XAO22" s="725"/>
      <c r="XAP22" s="725"/>
      <c r="XAQ22" s="725"/>
      <c r="XAR22" s="725"/>
      <c r="XAS22" s="725"/>
      <c r="XAT22" s="725"/>
      <c r="XAU22" s="725"/>
    </row>
    <row r="23" spans="1:42 16265:16271" s="536" customFormat="1" ht="17.25" hidden="1" customHeight="1" x14ac:dyDescent="0.25">
      <c r="A23" s="746"/>
      <c r="B23" s="747"/>
      <c r="C23" s="748"/>
      <c r="D23" s="749"/>
      <c r="E23" s="750"/>
      <c r="F23" s="751"/>
      <c r="G23" s="749"/>
      <c r="H23" s="751"/>
      <c r="I23" s="751"/>
      <c r="J23" s="748"/>
      <c r="K23" s="750"/>
      <c r="L23" s="538"/>
      <c r="M23" s="538"/>
      <c r="N23" s="752"/>
      <c r="O23" s="753"/>
      <c r="P23" s="752"/>
      <c r="Q23" s="753"/>
      <c r="R23" s="754"/>
      <c r="S23" s="748"/>
      <c r="T23" s="538"/>
      <c r="U23" s="752"/>
      <c r="V23" s="750"/>
      <c r="W23" s="538"/>
      <c r="X23" s="538"/>
      <c r="Y23" s="538"/>
      <c r="Z23" s="538"/>
      <c r="AA23" s="751"/>
      <c r="AB23" s="748"/>
      <c r="AC23" s="538"/>
      <c r="AD23" s="538"/>
      <c r="AE23" s="538"/>
      <c r="AF23" s="538"/>
      <c r="AG23" s="538"/>
      <c r="AH23" s="748"/>
      <c r="AI23" s="748"/>
      <c r="AJ23" s="538"/>
      <c r="AK23" s="538"/>
      <c r="AL23" s="538"/>
      <c r="AM23" s="538"/>
      <c r="AN23" s="755"/>
      <c r="AO23" s="756"/>
      <c r="AP23" s="361"/>
      <c r="XAO23" s="725"/>
      <c r="XAP23" s="725"/>
      <c r="XAQ23" s="725"/>
      <c r="XAR23" s="725"/>
      <c r="XAS23" s="725"/>
      <c r="XAT23" s="725"/>
      <c r="XAU23" s="725"/>
    </row>
    <row r="24" spans="1:42 16265:16271" s="536" customFormat="1" ht="17.25" hidden="1" customHeight="1" x14ac:dyDescent="0.25">
      <c r="A24" s="746"/>
      <c r="B24" s="747"/>
      <c r="C24" s="748"/>
      <c r="D24" s="749"/>
      <c r="E24" s="750"/>
      <c r="F24" s="751"/>
      <c r="G24" s="749"/>
      <c r="H24" s="751"/>
      <c r="I24" s="751"/>
      <c r="J24" s="748"/>
      <c r="K24" s="750"/>
      <c r="L24" s="538"/>
      <c r="M24" s="538"/>
      <c r="N24" s="752"/>
      <c r="O24" s="753"/>
      <c r="P24" s="752"/>
      <c r="Q24" s="753"/>
      <c r="R24" s="754"/>
      <c r="S24" s="748"/>
      <c r="T24" s="538"/>
      <c r="U24" s="752"/>
      <c r="V24" s="750"/>
      <c r="W24" s="538"/>
      <c r="X24" s="538"/>
      <c r="Y24" s="538"/>
      <c r="Z24" s="538"/>
      <c r="AA24" s="751"/>
      <c r="AB24" s="748"/>
      <c r="AC24" s="538"/>
      <c r="AD24" s="538"/>
      <c r="AE24" s="538"/>
      <c r="AF24" s="538"/>
      <c r="AG24" s="538"/>
      <c r="AH24" s="748"/>
      <c r="AI24" s="748"/>
      <c r="AJ24" s="538"/>
      <c r="AK24" s="538"/>
      <c r="AL24" s="538"/>
      <c r="AM24" s="538"/>
      <c r="AN24" s="755"/>
      <c r="AO24" s="756"/>
      <c r="AP24" s="361"/>
      <c r="XAO24" s="725"/>
      <c r="XAP24" s="725"/>
      <c r="XAQ24" s="725"/>
      <c r="XAR24" s="725"/>
      <c r="XAS24" s="725"/>
      <c r="XAT24" s="725"/>
      <c r="XAU24" s="725"/>
    </row>
    <row r="25" spans="1:42 16265:16271" s="536" customFormat="1" ht="17.25" hidden="1" customHeight="1" x14ac:dyDescent="0.25">
      <c r="A25" s="746"/>
      <c r="B25" s="747"/>
      <c r="C25" s="748"/>
      <c r="D25" s="749"/>
      <c r="E25" s="750"/>
      <c r="F25" s="751"/>
      <c r="G25" s="749"/>
      <c r="H25" s="751"/>
      <c r="I25" s="751"/>
      <c r="J25" s="748"/>
      <c r="K25" s="750"/>
      <c r="L25" s="538"/>
      <c r="M25" s="538"/>
      <c r="N25" s="752"/>
      <c r="O25" s="748"/>
      <c r="P25" s="538"/>
      <c r="Q25" s="749"/>
      <c r="R25" s="751"/>
      <c r="S25" s="748"/>
      <c r="T25" s="538"/>
      <c r="U25" s="752"/>
      <c r="V25" s="750"/>
      <c r="W25" s="538"/>
      <c r="X25" s="538"/>
      <c r="Y25" s="538"/>
      <c r="Z25" s="538"/>
      <c r="AA25" s="751"/>
      <c r="AB25" s="748"/>
      <c r="AC25" s="538"/>
      <c r="AD25" s="538"/>
      <c r="AE25" s="538"/>
      <c r="AF25" s="538"/>
      <c r="AG25" s="538"/>
      <c r="AH25" s="748"/>
      <c r="AI25" s="748"/>
      <c r="AJ25" s="538"/>
      <c r="AK25" s="538"/>
      <c r="AL25" s="538"/>
      <c r="AM25" s="538"/>
      <c r="AN25" s="755"/>
      <c r="AO25" s="756"/>
      <c r="AP25" s="361"/>
      <c r="XAO25" s="725"/>
      <c r="XAP25" s="725"/>
      <c r="XAQ25" s="725"/>
      <c r="XAR25" s="725"/>
      <c r="XAS25" s="725"/>
      <c r="XAT25" s="725"/>
      <c r="XAU25" s="725"/>
    </row>
    <row r="26" spans="1:42 16265:16271" s="536" customFormat="1" ht="17.25" hidden="1" customHeight="1" x14ac:dyDescent="0.25">
      <c r="A26" s="757"/>
      <c r="B26" s="758"/>
      <c r="C26" s="748"/>
      <c r="D26" s="749"/>
      <c r="E26" s="750"/>
      <c r="F26" s="751"/>
      <c r="G26" s="749"/>
      <c r="H26" s="751"/>
      <c r="I26" s="751"/>
      <c r="J26" s="748"/>
      <c r="K26" s="750"/>
      <c r="L26" s="538"/>
      <c r="M26" s="538"/>
      <c r="N26" s="752"/>
      <c r="O26" s="748"/>
      <c r="P26" s="538"/>
      <c r="Q26" s="749"/>
      <c r="R26" s="751"/>
      <c r="S26" s="748"/>
      <c r="T26" s="538"/>
      <c r="U26" s="752"/>
      <c r="V26" s="750"/>
      <c r="W26" s="759"/>
      <c r="X26" s="538"/>
      <c r="Y26" s="538"/>
      <c r="Z26" s="538"/>
      <c r="AA26" s="751"/>
      <c r="AB26" s="748"/>
      <c r="AC26" s="538"/>
      <c r="AD26" s="538"/>
      <c r="AE26" s="538"/>
      <c r="AF26" s="538"/>
      <c r="AG26" s="538"/>
      <c r="AH26" s="748"/>
      <c r="AI26" s="748"/>
      <c r="AJ26" s="538"/>
      <c r="AK26" s="538"/>
      <c r="AL26" s="538"/>
      <c r="AM26" s="538"/>
      <c r="AN26" s="755"/>
      <c r="AO26" s="756"/>
      <c r="AP26" s="361"/>
      <c r="XAO26" s="725"/>
      <c r="XAP26" s="725"/>
      <c r="XAQ26" s="725"/>
      <c r="XAR26" s="725"/>
      <c r="XAS26" s="725"/>
      <c r="XAT26" s="725"/>
      <c r="XAU26" s="725"/>
    </row>
    <row r="27" spans="1:42 16265:16271" s="536" customFormat="1" ht="17.25" hidden="1" customHeight="1" x14ac:dyDescent="0.25">
      <c r="A27" s="757"/>
      <c r="B27" s="758"/>
      <c r="C27" s="748"/>
      <c r="D27" s="749"/>
      <c r="E27" s="750"/>
      <c r="F27" s="751"/>
      <c r="G27" s="749"/>
      <c r="H27" s="751"/>
      <c r="I27" s="751"/>
      <c r="J27" s="748"/>
      <c r="K27" s="750"/>
      <c r="L27" s="538"/>
      <c r="M27" s="538"/>
      <c r="N27" s="752"/>
      <c r="O27" s="748"/>
      <c r="P27" s="538"/>
      <c r="Q27" s="749"/>
      <c r="R27" s="751"/>
      <c r="S27" s="748"/>
      <c r="T27" s="538"/>
      <c r="U27" s="752"/>
      <c r="V27" s="750"/>
      <c r="W27" s="759"/>
      <c r="X27" s="538"/>
      <c r="Y27" s="538"/>
      <c r="Z27" s="538"/>
      <c r="AA27" s="751"/>
      <c r="AB27" s="748"/>
      <c r="AC27" s="538"/>
      <c r="AD27" s="538"/>
      <c r="AE27" s="538"/>
      <c r="AF27" s="538"/>
      <c r="AG27" s="538"/>
      <c r="AH27" s="748"/>
      <c r="AI27" s="748"/>
      <c r="AJ27" s="538"/>
      <c r="AK27" s="538"/>
      <c r="AL27" s="538"/>
      <c r="AM27" s="538"/>
      <c r="AN27" s="755"/>
      <c r="AO27" s="756"/>
      <c r="AP27" s="361"/>
      <c r="XAO27" s="725"/>
      <c r="XAP27" s="725"/>
      <c r="XAQ27" s="725"/>
      <c r="XAR27" s="725"/>
      <c r="XAS27" s="725"/>
      <c r="XAT27" s="725"/>
      <c r="XAU27" s="725"/>
    </row>
    <row r="28" spans="1:42 16265:16271" s="536" customFormat="1" ht="17.25" hidden="1" customHeight="1" x14ac:dyDescent="0.25">
      <c r="A28" s="757"/>
      <c r="B28" s="758"/>
      <c r="C28" s="748"/>
      <c r="D28" s="749"/>
      <c r="E28" s="750"/>
      <c r="F28" s="751"/>
      <c r="G28" s="749"/>
      <c r="H28" s="751"/>
      <c r="I28" s="751"/>
      <c r="J28" s="748"/>
      <c r="K28" s="750"/>
      <c r="L28" s="538"/>
      <c r="M28" s="538"/>
      <c r="N28" s="752"/>
      <c r="O28" s="748"/>
      <c r="P28" s="538"/>
      <c r="Q28" s="749"/>
      <c r="R28" s="751"/>
      <c r="S28" s="748"/>
      <c r="T28" s="538"/>
      <c r="U28" s="752"/>
      <c r="V28" s="750"/>
      <c r="W28" s="759"/>
      <c r="X28" s="538"/>
      <c r="Y28" s="538"/>
      <c r="Z28" s="538"/>
      <c r="AA28" s="751"/>
      <c r="AB28" s="748"/>
      <c r="AC28" s="538"/>
      <c r="AD28" s="538"/>
      <c r="AE28" s="538"/>
      <c r="AF28" s="538"/>
      <c r="AG28" s="538"/>
      <c r="AH28" s="748"/>
      <c r="AI28" s="748"/>
      <c r="AJ28" s="538"/>
      <c r="AK28" s="538"/>
      <c r="AL28" s="538"/>
      <c r="AM28" s="538"/>
      <c r="AN28" s="755"/>
      <c r="AO28" s="756"/>
      <c r="AP28" s="361"/>
      <c r="XAO28" s="725"/>
      <c r="XAP28" s="725"/>
      <c r="XAQ28" s="725"/>
      <c r="XAR28" s="725"/>
      <c r="XAS28" s="725"/>
      <c r="XAT28" s="725"/>
      <c r="XAU28" s="725"/>
    </row>
    <row r="29" spans="1:42 16265:16271" s="536" customFormat="1" ht="17.25" hidden="1" customHeight="1" x14ac:dyDescent="0.25">
      <c r="A29" s="757"/>
      <c r="B29" s="758"/>
      <c r="C29" s="748"/>
      <c r="D29" s="749"/>
      <c r="E29" s="750"/>
      <c r="F29" s="751"/>
      <c r="G29" s="749"/>
      <c r="H29" s="751"/>
      <c r="I29" s="751"/>
      <c r="J29" s="748"/>
      <c r="K29" s="750"/>
      <c r="L29" s="538"/>
      <c r="M29" s="538"/>
      <c r="N29" s="752"/>
      <c r="O29" s="748"/>
      <c r="P29" s="538"/>
      <c r="Q29" s="749"/>
      <c r="R29" s="751"/>
      <c r="S29" s="748"/>
      <c r="T29" s="538"/>
      <c r="U29" s="752"/>
      <c r="V29" s="750"/>
      <c r="W29" s="759"/>
      <c r="X29" s="538"/>
      <c r="Y29" s="538"/>
      <c r="Z29" s="538"/>
      <c r="AA29" s="751"/>
      <c r="AB29" s="748"/>
      <c r="AC29" s="538"/>
      <c r="AD29" s="538"/>
      <c r="AE29" s="538"/>
      <c r="AF29" s="538"/>
      <c r="AG29" s="538"/>
      <c r="AH29" s="748"/>
      <c r="AI29" s="748"/>
      <c r="AJ29" s="538"/>
      <c r="AK29" s="538"/>
      <c r="AL29" s="538"/>
      <c r="AM29" s="538"/>
      <c r="AN29" s="755"/>
      <c r="AO29" s="756"/>
      <c r="AP29" s="361"/>
      <c r="XAO29" s="725"/>
      <c r="XAP29" s="725"/>
      <c r="XAQ29" s="725"/>
      <c r="XAR29" s="725"/>
      <c r="XAS29" s="725"/>
      <c r="XAT29" s="725"/>
      <c r="XAU29" s="725"/>
    </row>
    <row r="30" spans="1:42 16265:16271" s="536" customFormat="1" ht="17.25" hidden="1" customHeight="1" x14ac:dyDescent="0.25">
      <c r="A30" s="757"/>
      <c r="B30" s="758"/>
      <c r="C30" s="748"/>
      <c r="D30" s="749"/>
      <c r="E30" s="750"/>
      <c r="F30" s="751"/>
      <c r="G30" s="749"/>
      <c r="H30" s="751"/>
      <c r="I30" s="751"/>
      <c r="J30" s="748"/>
      <c r="K30" s="750"/>
      <c r="L30" s="538"/>
      <c r="M30" s="538"/>
      <c r="N30" s="752"/>
      <c r="O30" s="748"/>
      <c r="P30" s="538"/>
      <c r="Q30" s="749"/>
      <c r="R30" s="751"/>
      <c r="S30" s="748"/>
      <c r="T30" s="538"/>
      <c r="U30" s="752"/>
      <c r="V30" s="750"/>
      <c r="W30" s="759"/>
      <c r="X30" s="538"/>
      <c r="Y30" s="538"/>
      <c r="Z30" s="538"/>
      <c r="AA30" s="751"/>
      <c r="AB30" s="748"/>
      <c r="AC30" s="538"/>
      <c r="AD30" s="538"/>
      <c r="AE30" s="538"/>
      <c r="AF30" s="538"/>
      <c r="AG30" s="538"/>
      <c r="AH30" s="748"/>
      <c r="AI30" s="748"/>
      <c r="AJ30" s="538"/>
      <c r="AK30" s="538"/>
      <c r="AL30" s="538"/>
      <c r="AM30" s="538"/>
      <c r="AN30" s="755"/>
      <c r="AO30" s="756"/>
      <c r="AP30" s="361"/>
      <c r="XAO30" s="725"/>
      <c r="XAP30" s="725"/>
      <c r="XAQ30" s="725"/>
      <c r="XAR30" s="725"/>
      <c r="XAS30" s="725"/>
      <c r="XAT30" s="725"/>
      <c r="XAU30" s="725"/>
    </row>
    <row r="31" spans="1:42 16265:16271" s="537" customFormat="1" ht="17.25" hidden="1" customHeight="1" x14ac:dyDescent="0.25">
      <c r="A31" s="736" t="s">
        <v>64</v>
      </c>
      <c r="B31" s="737"/>
      <c r="C31" s="738"/>
      <c r="D31" s="738"/>
      <c r="E31" s="739"/>
      <c r="F31" s="740"/>
      <c r="G31" s="738"/>
      <c r="H31" s="740"/>
      <c r="I31" s="740"/>
      <c r="J31" s="738"/>
      <c r="K31" s="739"/>
      <c r="L31" s="739"/>
      <c r="M31" s="739"/>
      <c r="N31" s="739"/>
      <c r="O31" s="738"/>
      <c r="P31" s="739"/>
      <c r="Q31" s="738"/>
      <c r="R31" s="740"/>
      <c r="S31" s="738"/>
      <c r="T31" s="739"/>
      <c r="U31" s="739"/>
      <c r="V31" s="741"/>
      <c r="W31" s="730"/>
      <c r="X31" s="739"/>
      <c r="Y31" s="739"/>
      <c r="Z31" s="739"/>
      <c r="AA31" s="742"/>
      <c r="AB31" s="743"/>
      <c r="AC31" s="742"/>
      <c r="AD31" s="740"/>
      <c r="AE31" s="760"/>
      <c r="AF31" s="892"/>
      <c r="AG31" s="760"/>
      <c r="AH31" s="761"/>
      <c r="AI31" s="761"/>
      <c r="AJ31" s="760"/>
      <c r="AK31" s="760"/>
      <c r="AL31" s="760"/>
      <c r="AM31" s="760"/>
      <c r="AN31" s="762"/>
      <c r="AO31" s="763"/>
      <c r="AP31" s="376"/>
      <c r="XAO31" s="725"/>
      <c r="XAP31" s="725"/>
      <c r="XAQ31" s="725"/>
      <c r="XAR31" s="725"/>
      <c r="XAS31" s="725"/>
      <c r="XAT31" s="725"/>
      <c r="XAU31" s="725"/>
    </row>
    <row r="32" spans="1:42 16265:16271" s="538" customFormat="1" ht="17.25" hidden="1" customHeight="1" x14ac:dyDescent="0.25">
      <c r="A32" s="757"/>
      <c r="B32" s="758" t="s">
        <v>136</v>
      </c>
      <c r="C32" s="748">
        <v>0</v>
      </c>
      <c r="D32" s="749" t="e">
        <v>#VALUE!</v>
      </c>
      <c r="E32" s="750"/>
      <c r="F32" s="751" t="e">
        <v>#VALUE!</v>
      </c>
      <c r="G32" s="749"/>
      <c r="H32" s="751"/>
      <c r="I32" s="751"/>
      <c r="J32" s="748" t="e">
        <v>#VALUE!</v>
      </c>
      <c r="K32" s="750"/>
      <c r="L32" s="538" t="e">
        <v>#VALUE!</v>
      </c>
      <c r="N32" s="764" t="e">
        <v>#VALUE!</v>
      </c>
      <c r="O32" s="748" t="e">
        <v>#DIV/0!</v>
      </c>
      <c r="Q32" s="749" t="e">
        <v>#VALUE!</v>
      </c>
      <c r="R32" s="751"/>
      <c r="S32" s="748" t="e">
        <v>#VALUE!</v>
      </c>
      <c r="T32" s="538" t="e">
        <v>#VALUE!</v>
      </c>
      <c r="V32" s="750" t="e">
        <v>#DIV/0!</v>
      </c>
      <c r="W32" s="538" t="e">
        <v>#DIV/0!</v>
      </c>
      <c r="Z32" s="538" t="e">
        <v>#VALUE!</v>
      </c>
      <c r="AA32" s="751" t="e">
        <v>#DIV/0!</v>
      </c>
      <c r="AB32" s="749" t="e">
        <v>#DIV/0!</v>
      </c>
      <c r="AC32" s="765" t="e">
        <v>#DIV/0!</v>
      </c>
      <c r="AD32" s="765" t="e">
        <v>#DIV/0!</v>
      </c>
      <c r="AH32" s="748"/>
      <c r="AI32" s="748"/>
      <c r="AN32" s="755"/>
      <c r="AO32" s="756"/>
      <c r="XAO32" s="766"/>
      <c r="XAP32" s="766"/>
      <c r="XAQ32" s="766"/>
      <c r="XAR32" s="766"/>
      <c r="XAS32" s="766"/>
      <c r="XAT32" s="766"/>
      <c r="XAU32" s="766"/>
    </row>
    <row r="33" spans="1:41 16265:16271" s="538" customFormat="1" ht="17.25" hidden="1" customHeight="1" x14ac:dyDescent="0.25">
      <c r="A33" s="757"/>
      <c r="B33" s="758" t="s">
        <v>126</v>
      </c>
      <c r="C33" s="748">
        <v>0</v>
      </c>
      <c r="D33" s="749" t="s">
        <v>194</v>
      </c>
      <c r="E33" s="750"/>
      <c r="F33" s="751" t="e">
        <v>#VALUE!</v>
      </c>
      <c r="G33" s="749"/>
      <c r="H33" s="751"/>
      <c r="I33" s="751"/>
      <c r="J33" s="748" t="e">
        <v>#VALUE!</v>
      </c>
      <c r="K33" s="750"/>
      <c r="L33" s="538" t="e">
        <v>#VALUE!</v>
      </c>
      <c r="N33" s="764" t="e">
        <v>#VALUE!</v>
      </c>
      <c r="O33" s="748" t="e">
        <v>#DIV/0!</v>
      </c>
      <c r="Q33" s="749" t="e">
        <v>#VALUE!</v>
      </c>
      <c r="R33" s="751"/>
      <c r="S33" s="748" t="e">
        <v>#VALUE!</v>
      </c>
      <c r="T33" s="538" t="e">
        <v>#VALUE!</v>
      </c>
      <c r="V33" s="750" t="e">
        <v>#DIV/0!</v>
      </c>
      <c r="W33" s="538" t="e">
        <v>#DIV/0!</v>
      </c>
      <c r="Z33" s="538" t="e">
        <v>#VALUE!</v>
      </c>
      <c r="AA33" s="751" t="e">
        <v>#DIV/0!</v>
      </c>
      <c r="AB33" s="749" t="e">
        <v>#DIV/0!</v>
      </c>
      <c r="AC33" s="751" t="e">
        <v>#DIV/0!</v>
      </c>
      <c r="AD33" s="751" t="e">
        <v>#DIV/0!</v>
      </c>
      <c r="AH33" s="748"/>
      <c r="AI33" s="748"/>
      <c r="AN33" s="755"/>
      <c r="AO33" s="756"/>
      <c r="XAO33" s="766"/>
      <c r="XAP33" s="766"/>
      <c r="XAQ33" s="766"/>
      <c r="XAR33" s="766"/>
      <c r="XAS33" s="766"/>
      <c r="XAT33" s="766"/>
      <c r="XAU33" s="766"/>
    </row>
    <row r="34" spans="1:41 16265:16271" s="538" customFormat="1" ht="17.25" hidden="1" customHeight="1" x14ac:dyDescent="0.25">
      <c r="A34" s="757"/>
      <c r="B34" s="758" t="s">
        <v>137</v>
      </c>
      <c r="C34" s="748">
        <v>0</v>
      </c>
      <c r="D34" s="749" t="e">
        <v>#VALUE!</v>
      </c>
      <c r="E34" s="750"/>
      <c r="F34" s="751" t="e">
        <v>#VALUE!</v>
      </c>
      <c r="G34" s="749"/>
      <c r="H34" s="751"/>
      <c r="I34" s="751"/>
      <c r="J34" s="748" t="e">
        <v>#VALUE!</v>
      </c>
      <c r="K34" s="750"/>
      <c r="L34" s="538" t="e">
        <v>#VALUE!</v>
      </c>
      <c r="N34" s="764" t="e">
        <v>#VALUE!</v>
      </c>
      <c r="O34" s="748" t="e">
        <v>#DIV/0!</v>
      </c>
      <c r="Q34" s="749" t="e">
        <v>#VALUE!</v>
      </c>
      <c r="R34" s="751"/>
      <c r="S34" s="748" t="e">
        <v>#VALUE!</v>
      </c>
      <c r="T34" s="538" t="e">
        <v>#VALUE!</v>
      </c>
      <c r="V34" s="750" t="e">
        <v>#DIV/0!</v>
      </c>
      <c r="W34" s="538" t="e">
        <v>#DIV/0!</v>
      </c>
      <c r="Z34" s="538" t="e">
        <v>#VALUE!</v>
      </c>
      <c r="AA34" s="751" t="e">
        <v>#DIV/0!</v>
      </c>
      <c r="AB34" s="749" t="e">
        <v>#DIV/0!</v>
      </c>
      <c r="AC34" s="751" t="e">
        <v>#DIV/0!</v>
      </c>
      <c r="AD34" s="751" t="e">
        <v>#DIV/0!</v>
      </c>
      <c r="AH34" s="748"/>
      <c r="AI34" s="748"/>
      <c r="AN34" s="755"/>
      <c r="AO34" s="756"/>
      <c r="XAO34" s="766"/>
      <c r="XAP34" s="766"/>
      <c r="XAQ34" s="766"/>
      <c r="XAR34" s="766"/>
      <c r="XAS34" s="766"/>
      <c r="XAT34" s="766"/>
      <c r="XAU34" s="766"/>
    </row>
    <row r="35" spans="1:41 16265:16271" s="538" customFormat="1" ht="17.25" hidden="1" customHeight="1" x14ac:dyDescent="0.25">
      <c r="A35" s="757"/>
      <c r="B35" s="758" t="s">
        <v>127</v>
      </c>
      <c r="C35" s="748">
        <v>0</v>
      </c>
      <c r="D35" s="749" t="e">
        <v>#VALUE!</v>
      </c>
      <c r="E35" s="750"/>
      <c r="F35" s="751" t="e">
        <v>#VALUE!</v>
      </c>
      <c r="G35" s="749"/>
      <c r="H35" s="751"/>
      <c r="I35" s="751"/>
      <c r="J35" s="748" t="e">
        <v>#VALUE!</v>
      </c>
      <c r="K35" s="750"/>
      <c r="L35" s="538" t="e">
        <v>#VALUE!</v>
      </c>
      <c r="N35" s="764" t="e">
        <v>#VALUE!</v>
      </c>
      <c r="O35" s="748" t="e">
        <v>#DIV/0!</v>
      </c>
      <c r="Q35" s="749" t="e">
        <v>#VALUE!</v>
      </c>
      <c r="R35" s="751"/>
      <c r="S35" s="748" t="e">
        <v>#VALUE!</v>
      </c>
      <c r="T35" s="538" t="e">
        <v>#VALUE!</v>
      </c>
      <c r="V35" s="750" t="e">
        <v>#DIV/0!</v>
      </c>
      <c r="W35" s="538" t="e">
        <v>#DIV/0!</v>
      </c>
      <c r="Z35" s="538" t="e">
        <v>#VALUE!</v>
      </c>
      <c r="AA35" s="751" t="e">
        <v>#DIV/0!</v>
      </c>
      <c r="AB35" s="749" t="e">
        <v>#DIV/0!</v>
      </c>
      <c r="AC35" s="751">
        <v>0</v>
      </c>
      <c r="AD35" s="751" t="e">
        <v>#DIV/0!</v>
      </c>
      <c r="AH35" s="748"/>
      <c r="AI35" s="748"/>
      <c r="AN35" s="755"/>
      <c r="AO35" s="756"/>
      <c r="XAO35" s="766"/>
      <c r="XAP35" s="766"/>
      <c r="XAQ35" s="766"/>
      <c r="XAR35" s="766"/>
      <c r="XAS35" s="766"/>
      <c r="XAT35" s="766"/>
      <c r="XAU35" s="766"/>
    </row>
    <row r="36" spans="1:41 16265:16271" s="538" customFormat="1" ht="17.25" hidden="1" customHeight="1" x14ac:dyDescent="0.25">
      <c r="A36" s="757"/>
      <c r="B36" s="758" t="s">
        <v>138</v>
      </c>
      <c r="C36" s="748">
        <v>0</v>
      </c>
      <c r="D36" s="749" t="e">
        <v>#VALUE!</v>
      </c>
      <c r="E36" s="750"/>
      <c r="F36" s="751" t="e">
        <v>#VALUE!</v>
      </c>
      <c r="G36" s="749"/>
      <c r="H36" s="751"/>
      <c r="I36" s="751"/>
      <c r="J36" s="748" t="e">
        <v>#VALUE!</v>
      </c>
      <c r="K36" s="750"/>
      <c r="L36" s="538" t="e">
        <v>#VALUE!</v>
      </c>
      <c r="N36" s="764" t="e">
        <v>#VALUE!</v>
      </c>
      <c r="O36" s="748" t="e">
        <v>#DIV/0!</v>
      </c>
      <c r="Q36" s="749" t="e">
        <v>#VALUE!</v>
      </c>
      <c r="R36" s="751"/>
      <c r="S36" s="748" t="e">
        <v>#VALUE!</v>
      </c>
      <c r="T36" s="538" t="e">
        <v>#VALUE!</v>
      </c>
      <c r="V36" s="750" t="e">
        <v>#DIV/0!</v>
      </c>
      <c r="W36" s="538" t="e">
        <v>#DIV/0!</v>
      </c>
      <c r="Z36" s="538" t="e">
        <v>#VALUE!</v>
      </c>
      <c r="AA36" s="751" t="e">
        <v>#DIV/0!</v>
      </c>
      <c r="AB36" s="749" t="e">
        <v>#DIV/0!</v>
      </c>
      <c r="AC36" s="751" t="e">
        <v>#DIV/0!</v>
      </c>
      <c r="AD36" s="751" t="e">
        <v>#DIV/0!</v>
      </c>
      <c r="AH36" s="748"/>
      <c r="AI36" s="748"/>
      <c r="AN36" s="755"/>
      <c r="AO36" s="756"/>
      <c r="XAO36" s="766"/>
      <c r="XAP36" s="766"/>
      <c r="XAQ36" s="766"/>
      <c r="XAR36" s="766"/>
      <c r="XAS36" s="766"/>
      <c r="XAT36" s="766"/>
      <c r="XAU36" s="766"/>
    </row>
    <row r="37" spans="1:41 16265:16271" s="538" customFormat="1" ht="17.25" hidden="1" customHeight="1" x14ac:dyDescent="0.25">
      <c r="A37" s="757"/>
      <c r="B37" s="758" t="s">
        <v>128</v>
      </c>
      <c r="C37" s="748">
        <v>0</v>
      </c>
      <c r="D37" s="749" t="e">
        <v>#VALUE!</v>
      </c>
      <c r="E37" s="750"/>
      <c r="F37" s="751" t="e">
        <v>#VALUE!</v>
      </c>
      <c r="G37" s="749"/>
      <c r="H37" s="751"/>
      <c r="I37" s="751"/>
      <c r="J37" s="748" t="e">
        <v>#VALUE!</v>
      </c>
      <c r="K37" s="750"/>
      <c r="L37" s="538" t="e">
        <v>#VALUE!</v>
      </c>
      <c r="N37" s="764" t="e">
        <v>#VALUE!</v>
      </c>
      <c r="O37" s="748" t="e">
        <v>#DIV/0!</v>
      </c>
      <c r="Q37" s="749" t="e">
        <v>#VALUE!</v>
      </c>
      <c r="R37" s="751"/>
      <c r="S37" s="748" t="e">
        <v>#VALUE!</v>
      </c>
      <c r="T37" s="538" t="e">
        <v>#VALUE!</v>
      </c>
      <c r="V37" s="750" t="e">
        <v>#DIV/0!</v>
      </c>
      <c r="W37" s="538" t="e">
        <v>#DIV/0!</v>
      </c>
      <c r="Z37" s="538" t="e">
        <v>#VALUE!</v>
      </c>
      <c r="AA37" s="751" t="e">
        <v>#DIV/0!</v>
      </c>
      <c r="AB37" s="749" t="e">
        <v>#DIV/0!</v>
      </c>
      <c r="AC37" s="751" t="e">
        <v>#DIV/0!</v>
      </c>
      <c r="AD37" s="751" t="e">
        <v>#DIV/0!</v>
      </c>
      <c r="AH37" s="748"/>
      <c r="AI37" s="748"/>
      <c r="AN37" s="755"/>
      <c r="AO37" s="756"/>
      <c r="XAO37" s="766"/>
      <c r="XAP37" s="766"/>
      <c r="XAQ37" s="766"/>
      <c r="XAR37" s="766"/>
      <c r="XAS37" s="766"/>
      <c r="XAT37" s="766"/>
      <c r="XAU37" s="766"/>
    </row>
    <row r="38" spans="1:41 16265:16271" s="538" customFormat="1" ht="17.25" hidden="1" customHeight="1" x14ac:dyDescent="0.25">
      <c r="A38" s="757"/>
      <c r="B38" s="758" t="s">
        <v>139</v>
      </c>
      <c r="C38" s="748">
        <v>0</v>
      </c>
      <c r="D38" s="749" t="e">
        <v>#VALUE!</v>
      </c>
      <c r="E38" s="750"/>
      <c r="F38" s="751" t="e">
        <v>#VALUE!</v>
      </c>
      <c r="G38" s="749"/>
      <c r="H38" s="751"/>
      <c r="I38" s="751"/>
      <c r="J38" s="748" t="e">
        <v>#VALUE!</v>
      </c>
      <c r="K38" s="750"/>
      <c r="L38" s="538" t="e">
        <v>#VALUE!</v>
      </c>
      <c r="N38" s="764" t="e">
        <v>#VALUE!</v>
      </c>
      <c r="O38" s="748" t="e">
        <v>#DIV/0!</v>
      </c>
      <c r="Q38" s="749" t="e">
        <v>#VALUE!</v>
      </c>
      <c r="R38" s="751"/>
      <c r="S38" s="748" t="e">
        <v>#VALUE!</v>
      </c>
      <c r="T38" s="538" t="e">
        <v>#VALUE!</v>
      </c>
      <c r="V38" s="750" t="e">
        <v>#DIV/0!</v>
      </c>
      <c r="W38" s="538" t="e">
        <v>#DIV/0!</v>
      </c>
      <c r="Z38" s="538" t="e">
        <v>#VALUE!</v>
      </c>
      <c r="AA38" s="751" t="e">
        <v>#DIV/0!</v>
      </c>
      <c r="AB38" s="749" t="e">
        <v>#DIV/0!</v>
      </c>
      <c r="AC38" s="751" t="e">
        <v>#DIV/0!</v>
      </c>
      <c r="AD38" s="751" t="e">
        <v>#DIV/0!</v>
      </c>
      <c r="AH38" s="748"/>
      <c r="AI38" s="748"/>
      <c r="AN38" s="755"/>
      <c r="AO38" s="756"/>
      <c r="XAO38" s="766"/>
      <c r="XAP38" s="766"/>
      <c r="XAQ38" s="766"/>
      <c r="XAR38" s="766"/>
      <c r="XAS38" s="766"/>
      <c r="XAT38" s="766"/>
      <c r="XAU38" s="766"/>
    </row>
    <row r="39" spans="1:41 16265:16271" s="538" customFormat="1" ht="17.25" hidden="1" customHeight="1" x14ac:dyDescent="0.25">
      <c r="A39" s="757"/>
      <c r="B39" s="758" t="s">
        <v>129</v>
      </c>
      <c r="C39" s="748">
        <v>0</v>
      </c>
      <c r="D39" s="749" t="e">
        <v>#VALUE!</v>
      </c>
      <c r="E39" s="750"/>
      <c r="F39" s="751" t="e">
        <v>#VALUE!</v>
      </c>
      <c r="G39" s="749"/>
      <c r="H39" s="751"/>
      <c r="I39" s="751"/>
      <c r="J39" s="748" t="e">
        <v>#VALUE!</v>
      </c>
      <c r="K39" s="750"/>
      <c r="L39" s="538" t="e">
        <v>#VALUE!</v>
      </c>
      <c r="N39" s="764" t="e">
        <v>#VALUE!</v>
      </c>
      <c r="O39" s="748" t="e">
        <v>#DIV/0!</v>
      </c>
      <c r="Q39" s="749" t="e">
        <v>#VALUE!</v>
      </c>
      <c r="R39" s="751"/>
      <c r="S39" s="748" t="e">
        <v>#VALUE!</v>
      </c>
      <c r="T39" s="538" t="e">
        <v>#VALUE!</v>
      </c>
      <c r="V39" s="750" t="e">
        <v>#DIV/0!</v>
      </c>
      <c r="W39" s="538" t="e">
        <v>#DIV/0!</v>
      </c>
      <c r="Z39" s="538" t="e">
        <v>#VALUE!</v>
      </c>
      <c r="AA39" s="751" t="e">
        <v>#DIV/0!</v>
      </c>
      <c r="AB39" s="749" t="e">
        <v>#DIV/0!</v>
      </c>
      <c r="AC39" s="751" t="e">
        <v>#DIV/0!</v>
      </c>
      <c r="AD39" s="751" t="e">
        <v>#DIV/0!</v>
      </c>
      <c r="AH39" s="748"/>
      <c r="AI39" s="748"/>
      <c r="AN39" s="755"/>
      <c r="AO39" s="756"/>
      <c r="XAO39" s="766"/>
      <c r="XAP39" s="766"/>
      <c r="XAQ39" s="766"/>
      <c r="XAR39" s="766"/>
      <c r="XAS39" s="766"/>
      <c r="XAT39" s="766"/>
      <c r="XAU39" s="766"/>
    </row>
    <row r="40" spans="1:41 16265:16271" s="538" customFormat="1" ht="17.25" hidden="1" customHeight="1" x14ac:dyDescent="0.25">
      <c r="A40" s="757"/>
      <c r="B40" s="758" t="s">
        <v>135</v>
      </c>
      <c r="C40" s="748">
        <v>0</v>
      </c>
      <c r="D40" s="749" t="e">
        <v>#VALUE!</v>
      </c>
      <c r="E40" s="750"/>
      <c r="F40" s="751" t="e">
        <v>#VALUE!</v>
      </c>
      <c r="G40" s="749"/>
      <c r="H40" s="751"/>
      <c r="I40" s="751"/>
      <c r="J40" s="748" t="e">
        <v>#VALUE!</v>
      </c>
      <c r="K40" s="750"/>
      <c r="L40" s="538" t="e">
        <v>#VALUE!</v>
      </c>
      <c r="N40" s="764" t="e">
        <v>#VALUE!</v>
      </c>
      <c r="O40" s="748" t="e">
        <v>#DIV/0!</v>
      </c>
      <c r="Q40" s="749" t="e">
        <v>#VALUE!</v>
      </c>
      <c r="R40" s="751"/>
      <c r="S40" s="748" t="e">
        <v>#VALUE!</v>
      </c>
      <c r="T40" s="538" t="e">
        <v>#VALUE!</v>
      </c>
      <c r="V40" s="750" t="e">
        <v>#DIV/0!</v>
      </c>
      <c r="W40" s="538" t="e">
        <v>#DIV/0!</v>
      </c>
      <c r="Z40" s="538" t="e">
        <v>#VALUE!</v>
      </c>
      <c r="AA40" s="751" t="e">
        <v>#DIV/0!</v>
      </c>
      <c r="AB40" s="749" t="e">
        <v>#DIV/0!</v>
      </c>
      <c r="AC40" s="751" t="e">
        <v>#DIV/0!</v>
      </c>
      <c r="AD40" s="751" t="e">
        <v>#DIV/0!</v>
      </c>
      <c r="AH40" s="748"/>
      <c r="AI40" s="748"/>
      <c r="AN40" s="755"/>
      <c r="AO40" s="756"/>
      <c r="XAO40" s="766"/>
      <c r="XAP40" s="766"/>
      <c r="XAQ40" s="766"/>
      <c r="XAR40" s="766"/>
      <c r="XAS40" s="766"/>
      <c r="XAT40" s="766"/>
      <c r="XAU40" s="766"/>
    </row>
    <row r="41" spans="1:41 16265:16271" s="538" customFormat="1" ht="17.25" hidden="1" customHeight="1" x14ac:dyDescent="0.25">
      <c r="A41" s="757"/>
      <c r="B41" s="758"/>
      <c r="C41" s="767"/>
      <c r="D41" s="767"/>
      <c r="E41" s="768"/>
      <c r="F41" s="768"/>
      <c r="G41" s="767"/>
      <c r="H41" s="768"/>
      <c r="I41" s="768"/>
      <c r="J41" s="767"/>
      <c r="K41" s="768"/>
      <c r="L41" s="768"/>
      <c r="M41" s="768"/>
      <c r="N41" s="769"/>
      <c r="O41" s="770"/>
      <c r="P41" s="769"/>
      <c r="Q41" s="767"/>
      <c r="R41" s="771"/>
      <c r="S41" s="772"/>
      <c r="T41" s="769"/>
      <c r="U41" s="773"/>
      <c r="V41" s="774"/>
      <c r="W41" s="773"/>
      <c r="X41" s="773"/>
      <c r="Y41" s="773"/>
      <c r="Z41" s="773"/>
      <c r="AA41" s="774"/>
      <c r="AB41" s="775"/>
      <c r="AC41" s="776"/>
      <c r="AD41" s="765"/>
      <c r="AH41" s="748"/>
      <c r="AI41" s="748"/>
      <c r="AN41" s="755"/>
      <c r="AO41" s="756"/>
      <c r="XAO41" s="766"/>
      <c r="XAP41" s="766"/>
      <c r="XAQ41" s="766"/>
      <c r="XAR41" s="766"/>
      <c r="XAS41" s="766"/>
      <c r="XAT41" s="766"/>
      <c r="XAU41" s="766"/>
    </row>
    <row r="42" spans="1:41 16265:16271" s="538" customFormat="1" ht="17.25" hidden="1" customHeight="1" x14ac:dyDescent="0.25">
      <c r="A42" s="757"/>
      <c r="B42" s="758" t="s">
        <v>107</v>
      </c>
      <c r="C42" s="748">
        <v>0</v>
      </c>
      <c r="D42" s="749">
        <v>0</v>
      </c>
      <c r="E42" s="750"/>
      <c r="F42" s="751">
        <v>0</v>
      </c>
      <c r="G42" s="749"/>
      <c r="H42" s="751"/>
      <c r="I42" s="751"/>
      <c r="J42" s="748">
        <v>0</v>
      </c>
      <c r="K42" s="750">
        <v>0</v>
      </c>
      <c r="L42" s="538">
        <v>0</v>
      </c>
      <c r="N42" s="752" t="s">
        <v>194</v>
      </c>
      <c r="O42" s="748">
        <v>0</v>
      </c>
      <c r="Q42" s="749">
        <v>0</v>
      </c>
      <c r="R42" s="751"/>
      <c r="S42" s="748">
        <v>0</v>
      </c>
      <c r="T42" s="538">
        <v>0</v>
      </c>
      <c r="V42" s="750">
        <v>0</v>
      </c>
      <c r="W42" s="538">
        <v>0</v>
      </c>
      <c r="Z42" s="538">
        <v>0</v>
      </c>
      <c r="AA42" s="751">
        <v>0</v>
      </c>
      <c r="AB42" s="749">
        <v>0</v>
      </c>
      <c r="AC42" s="751" t="e">
        <v>#REF!</v>
      </c>
      <c r="AD42" s="765">
        <v>0</v>
      </c>
      <c r="AH42" s="748"/>
      <c r="AI42" s="748"/>
      <c r="AN42" s="755"/>
      <c r="AO42" s="756"/>
      <c r="XAO42" s="766"/>
      <c r="XAP42" s="766"/>
      <c r="XAQ42" s="766"/>
      <c r="XAR42" s="766"/>
      <c r="XAS42" s="766"/>
      <c r="XAT42" s="766"/>
      <c r="XAU42" s="766"/>
    </row>
    <row r="43" spans="1:41 16265:16271" s="538" customFormat="1" ht="17.25" hidden="1" customHeight="1" x14ac:dyDescent="0.25">
      <c r="A43" s="757"/>
      <c r="B43" s="758" t="s">
        <v>108</v>
      </c>
      <c r="C43" s="748">
        <v>0</v>
      </c>
      <c r="D43" s="749">
        <v>0</v>
      </c>
      <c r="E43" s="750"/>
      <c r="F43" s="751">
        <v>0</v>
      </c>
      <c r="G43" s="749"/>
      <c r="H43" s="751"/>
      <c r="I43" s="751"/>
      <c r="J43" s="748">
        <v>0</v>
      </c>
      <c r="K43" s="750">
        <v>0</v>
      </c>
      <c r="L43" s="538">
        <v>0</v>
      </c>
      <c r="N43" s="752" t="s">
        <v>194</v>
      </c>
      <c r="O43" s="748">
        <v>0</v>
      </c>
      <c r="Q43" s="749">
        <v>0</v>
      </c>
      <c r="R43" s="751"/>
      <c r="S43" s="748">
        <v>0</v>
      </c>
      <c r="T43" s="538">
        <v>0</v>
      </c>
      <c r="V43" s="750">
        <v>0</v>
      </c>
      <c r="W43" s="538">
        <v>0</v>
      </c>
      <c r="Z43" s="538">
        <v>0</v>
      </c>
      <c r="AA43" s="751">
        <v>0</v>
      </c>
      <c r="AB43" s="749">
        <v>0</v>
      </c>
      <c r="AC43" s="751" t="e">
        <v>#REF!</v>
      </c>
      <c r="AD43" s="765">
        <v>0</v>
      </c>
      <c r="AH43" s="748"/>
      <c r="AI43" s="748"/>
      <c r="AN43" s="755"/>
      <c r="AO43" s="756"/>
      <c r="XAO43" s="766"/>
      <c r="XAP43" s="766"/>
      <c r="XAQ43" s="766"/>
      <c r="XAR43" s="766"/>
      <c r="XAS43" s="766"/>
      <c r="XAT43" s="766"/>
      <c r="XAU43" s="766"/>
    </row>
    <row r="44" spans="1:41 16265:16271" s="538" customFormat="1" ht="17.25" hidden="1" customHeight="1" x14ac:dyDescent="0.25">
      <c r="A44" s="757"/>
      <c r="B44" s="758" t="s">
        <v>108</v>
      </c>
      <c r="C44" s="748">
        <v>0</v>
      </c>
      <c r="D44" s="749">
        <v>0</v>
      </c>
      <c r="E44" s="750"/>
      <c r="F44" s="751">
        <v>0</v>
      </c>
      <c r="G44" s="749"/>
      <c r="H44" s="751"/>
      <c r="I44" s="751"/>
      <c r="J44" s="748">
        <v>0</v>
      </c>
      <c r="K44" s="750">
        <v>0</v>
      </c>
      <c r="L44" s="538">
        <v>0</v>
      </c>
      <c r="N44" s="752" t="s">
        <v>194</v>
      </c>
      <c r="O44" s="748">
        <v>0</v>
      </c>
      <c r="Q44" s="749">
        <v>0</v>
      </c>
      <c r="R44" s="751"/>
      <c r="S44" s="748">
        <v>0</v>
      </c>
      <c r="T44" s="538">
        <v>0</v>
      </c>
      <c r="V44" s="750">
        <v>0</v>
      </c>
      <c r="W44" s="538">
        <v>0</v>
      </c>
      <c r="Z44" s="538">
        <v>0</v>
      </c>
      <c r="AA44" s="751">
        <v>0</v>
      </c>
      <c r="AB44" s="749">
        <v>0</v>
      </c>
      <c r="AC44" s="751" t="e">
        <v>#REF!</v>
      </c>
      <c r="AD44" s="765">
        <v>0</v>
      </c>
      <c r="AH44" s="748"/>
      <c r="AI44" s="748"/>
      <c r="AN44" s="755"/>
      <c r="AO44" s="756"/>
      <c r="XAO44" s="766"/>
      <c r="XAP44" s="766"/>
      <c r="XAQ44" s="766"/>
      <c r="XAR44" s="766"/>
      <c r="XAS44" s="766"/>
      <c r="XAT44" s="766"/>
      <c r="XAU44" s="766"/>
    </row>
    <row r="45" spans="1:41 16265:16271" s="538" customFormat="1" ht="17.25" hidden="1" customHeight="1" x14ac:dyDescent="0.25">
      <c r="A45" s="757"/>
      <c r="B45" s="758" t="s">
        <v>109</v>
      </c>
      <c r="C45" s="748">
        <v>0</v>
      </c>
      <c r="D45" s="749">
        <v>0</v>
      </c>
      <c r="E45" s="750"/>
      <c r="F45" s="751">
        <v>0</v>
      </c>
      <c r="G45" s="749"/>
      <c r="H45" s="751"/>
      <c r="I45" s="751"/>
      <c r="J45" s="748">
        <v>0</v>
      </c>
      <c r="K45" s="750">
        <v>0</v>
      </c>
      <c r="L45" s="538">
        <v>0</v>
      </c>
      <c r="N45" s="752" t="s">
        <v>194</v>
      </c>
      <c r="O45" s="748">
        <v>0</v>
      </c>
      <c r="Q45" s="749">
        <v>0</v>
      </c>
      <c r="R45" s="751"/>
      <c r="S45" s="748">
        <v>0</v>
      </c>
      <c r="T45" s="538">
        <v>0</v>
      </c>
      <c r="V45" s="750">
        <v>0</v>
      </c>
      <c r="W45" s="538">
        <v>0</v>
      </c>
      <c r="Z45" s="538">
        <v>0</v>
      </c>
      <c r="AA45" s="751">
        <v>0</v>
      </c>
      <c r="AB45" s="749">
        <v>0</v>
      </c>
      <c r="AC45" s="751" t="e">
        <v>#REF!</v>
      </c>
      <c r="AD45" s="765">
        <v>0</v>
      </c>
      <c r="AH45" s="748"/>
      <c r="AI45" s="748"/>
      <c r="AN45" s="755"/>
      <c r="AO45" s="756"/>
      <c r="XAO45" s="766"/>
      <c r="XAP45" s="766"/>
      <c r="XAQ45" s="766"/>
      <c r="XAR45" s="766"/>
      <c r="XAS45" s="766"/>
      <c r="XAT45" s="766"/>
      <c r="XAU45" s="766"/>
    </row>
    <row r="46" spans="1:41 16265:16271" s="538" customFormat="1" ht="17.25" hidden="1" customHeight="1" x14ac:dyDescent="0.25">
      <c r="A46" s="757"/>
      <c r="B46" s="758" t="s">
        <v>110</v>
      </c>
      <c r="C46" s="748">
        <v>0</v>
      </c>
      <c r="D46" s="749">
        <v>0</v>
      </c>
      <c r="E46" s="750"/>
      <c r="F46" s="751">
        <v>0</v>
      </c>
      <c r="G46" s="749"/>
      <c r="H46" s="751"/>
      <c r="I46" s="751"/>
      <c r="J46" s="748">
        <v>0</v>
      </c>
      <c r="K46" s="750">
        <v>0</v>
      </c>
      <c r="L46" s="538">
        <v>0</v>
      </c>
      <c r="N46" s="752" t="s">
        <v>194</v>
      </c>
      <c r="O46" s="748">
        <v>0</v>
      </c>
      <c r="Q46" s="749">
        <v>0</v>
      </c>
      <c r="R46" s="751"/>
      <c r="S46" s="748" t="e">
        <v>#REF!</v>
      </c>
      <c r="T46" s="538">
        <v>0</v>
      </c>
      <c r="V46" s="750">
        <v>0</v>
      </c>
      <c r="W46" s="538">
        <v>0</v>
      </c>
      <c r="Z46" s="538">
        <v>0</v>
      </c>
      <c r="AA46" s="751">
        <v>0</v>
      </c>
      <c r="AB46" s="749">
        <v>0</v>
      </c>
      <c r="AC46" s="751" t="e">
        <v>#REF!</v>
      </c>
      <c r="AD46" s="765">
        <v>0</v>
      </c>
      <c r="AH46" s="748"/>
      <c r="AI46" s="748"/>
      <c r="AN46" s="755"/>
      <c r="AO46" s="756"/>
      <c r="XAO46" s="766"/>
      <c r="XAP46" s="766"/>
      <c r="XAQ46" s="766"/>
      <c r="XAR46" s="766"/>
      <c r="XAS46" s="766"/>
      <c r="XAT46" s="766"/>
      <c r="XAU46" s="766"/>
    </row>
    <row r="47" spans="1:41 16265:16271" s="538" customFormat="1" ht="17.25" hidden="1" customHeight="1" x14ac:dyDescent="0.25">
      <c r="A47" s="757"/>
      <c r="B47" s="758" t="s">
        <v>111</v>
      </c>
      <c r="C47" s="748">
        <v>0</v>
      </c>
      <c r="D47" s="749">
        <v>0</v>
      </c>
      <c r="E47" s="750"/>
      <c r="F47" s="751">
        <v>0</v>
      </c>
      <c r="G47" s="749"/>
      <c r="H47" s="751"/>
      <c r="I47" s="751"/>
      <c r="J47" s="748">
        <v>0</v>
      </c>
      <c r="K47" s="750">
        <v>0</v>
      </c>
      <c r="L47" s="538">
        <v>0</v>
      </c>
      <c r="N47" s="752" t="s">
        <v>194</v>
      </c>
      <c r="O47" s="748">
        <v>0</v>
      </c>
      <c r="Q47" s="749">
        <v>0</v>
      </c>
      <c r="R47" s="751"/>
      <c r="S47" s="748" t="e">
        <v>#REF!</v>
      </c>
      <c r="T47" s="538">
        <v>0</v>
      </c>
      <c r="V47" s="750">
        <v>0</v>
      </c>
      <c r="W47" s="538">
        <v>0</v>
      </c>
      <c r="Z47" s="538">
        <v>0</v>
      </c>
      <c r="AA47" s="751">
        <v>0</v>
      </c>
      <c r="AB47" s="749">
        <v>0</v>
      </c>
      <c r="AC47" s="751" t="e">
        <v>#REF!</v>
      </c>
      <c r="AD47" s="765">
        <v>0</v>
      </c>
      <c r="AH47" s="748"/>
      <c r="AI47" s="748"/>
      <c r="AN47" s="755"/>
      <c r="AO47" s="756"/>
      <c r="XAO47" s="766"/>
      <c r="XAP47" s="766"/>
      <c r="XAQ47" s="766"/>
      <c r="XAR47" s="766"/>
      <c r="XAS47" s="766"/>
      <c r="XAT47" s="766"/>
      <c r="XAU47" s="766"/>
    </row>
    <row r="48" spans="1:41 16265:16271" s="538" customFormat="1" ht="17.25" hidden="1" customHeight="1" x14ac:dyDescent="0.25">
      <c r="A48" s="757"/>
      <c r="B48" s="758" t="s">
        <v>112</v>
      </c>
      <c r="C48" s="748">
        <v>0</v>
      </c>
      <c r="D48" s="749">
        <v>0</v>
      </c>
      <c r="E48" s="750"/>
      <c r="F48" s="751">
        <v>0</v>
      </c>
      <c r="G48" s="749"/>
      <c r="H48" s="751"/>
      <c r="I48" s="751"/>
      <c r="J48" s="748">
        <v>0</v>
      </c>
      <c r="K48" s="750">
        <v>0</v>
      </c>
      <c r="L48" s="538">
        <v>0</v>
      </c>
      <c r="N48" s="752" t="s">
        <v>194</v>
      </c>
      <c r="O48" s="748">
        <v>0</v>
      </c>
      <c r="Q48" s="749">
        <v>0</v>
      </c>
      <c r="R48" s="751"/>
      <c r="S48" s="748" t="e">
        <v>#REF!</v>
      </c>
      <c r="T48" s="538">
        <v>0</v>
      </c>
      <c r="V48" s="750">
        <v>0</v>
      </c>
      <c r="W48" s="538">
        <v>0</v>
      </c>
      <c r="Z48" s="538">
        <v>0</v>
      </c>
      <c r="AA48" s="751">
        <v>0</v>
      </c>
      <c r="AB48" s="749">
        <v>0</v>
      </c>
      <c r="AC48" s="751" t="e">
        <v>#REF!</v>
      </c>
      <c r="AD48" s="765">
        <v>0</v>
      </c>
      <c r="AH48" s="748"/>
      <c r="AI48" s="748"/>
      <c r="AN48" s="755"/>
      <c r="AO48" s="756"/>
      <c r="XAO48" s="766"/>
      <c r="XAP48" s="766"/>
      <c r="XAQ48" s="766"/>
      <c r="XAR48" s="766"/>
      <c r="XAS48" s="766"/>
      <c r="XAT48" s="766"/>
      <c r="XAU48" s="766"/>
    </row>
    <row r="49" spans="1:175 16265:16271" s="538" customFormat="1" ht="17.25" hidden="1" customHeight="1" x14ac:dyDescent="0.25">
      <c r="A49" s="757"/>
      <c r="B49" s="758" t="s">
        <v>113</v>
      </c>
      <c r="C49" s="748">
        <v>0</v>
      </c>
      <c r="D49" s="749">
        <v>0</v>
      </c>
      <c r="E49" s="750"/>
      <c r="F49" s="751">
        <v>0</v>
      </c>
      <c r="G49" s="749"/>
      <c r="H49" s="751"/>
      <c r="I49" s="751"/>
      <c r="J49" s="748">
        <v>0</v>
      </c>
      <c r="K49" s="750">
        <v>0</v>
      </c>
      <c r="L49" s="538">
        <v>0</v>
      </c>
      <c r="N49" s="752" t="s">
        <v>194</v>
      </c>
      <c r="O49" s="748">
        <v>0</v>
      </c>
      <c r="Q49" s="749">
        <v>0</v>
      </c>
      <c r="R49" s="751"/>
      <c r="S49" s="748" t="e">
        <v>#REF!</v>
      </c>
      <c r="T49" s="538">
        <v>0</v>
      </c>
      <c r="V49" s="750">
        <v>0</v>
      </c>
      <c r="W49" s="538">
        <v>0</v>
      </c>
      <c r="Z49" s="538">
        <v>0</v>
      </c>
      <c r="AA49" s="751">
        <v>0</v>
      </c>
      <c r="AB49" s="749">
        <v>0</v>
      </c>
      <c r="AC49" s="751" t="e">
        <v>#REF!</v>
      </c>
      <c r="AD49" s="765">
        <v>0</v>
      </c>
      <c r="AH49" s="748"/>
      <c r="AI49" s="748"/>
      <c r="AN49" s="755"/>
      <c r="AO49" s="756"/>
      <c r="XAO49" s="766"/>
      <c r="XAP49" s="766"/>
      <c r="XAQ49" s="766"/>
      <c r="XAR49" s="766"/>
      <c r="XAS49" s="766"/>
      <c r="XAT49" s="766"/>
      <c r="XAU49" s="766"/>
    </row>
    <row r="50" spans="1:175 16265:16271" s="538" customFormat="1" ht="17.25" hidden="1" customHeight="1" x14ac:dyDescent="0.25">
      <c r="A50" s="757"/>
      <c r="B50" s="758" t="s">
        <v>114</v>
      </c>
      <c r="C50" s="748">
        <v>0</v>
      </c>
      <c r="D50" s="749">
        <v>0</v>
      </c>
      <c r="E50" s="750"/>
      <c r="F50" s="751">
        <v>0</v>
      </c>
      <c r="G50" s="749"/>
      <c r="H50" s="751"/>
      <c r="I50" s="751"/>
      <c r="J50" s="748">
        <v>0</v>
      </c>
      <c r="K50" s="750">
        <v>0</v>
      </c>
      <c r="L50" s="538">
        <v>0</v>
      </c>
      <c r="N50" s="752" t="s">
        <v>194</v>
      </c>
      <c r="O50" s="748">
        <v>0</v>
      </c>
      <c r="Q50" s="749">
        <v>0</v>
      </c>
      <c r="R50" s="751"/>
      <c r="S50" s="748" t="e">
        <v>#REF!</v>
      </c>
      <c r="T50" s="538">
        <v>0</v>
      </c>
      <c r="V50" s="750">
        <v>0</v>
      </c>
      <c r="W50" s="538">
        <v>0</v>
      </c>
      <c r="Z50" s="538">
        <v>0</v>
      </c>
      <c r="AA50" s="751">
        <v>0</v>
      </c>
      <c r="AB50" s="749">
        <v>0</v>
      </c>
      <c r="AC50" s="751" t="e">
        <v>#REF!</v>
      </c>
      <c r="AD50" s="765">
        <v>0</v>
      </c>
      <c r="AH50" s="748"/>
      <c r="AI50" s="748"/>
      <c r="AN50" s="755"/>
      <c r="AO50" s="756"/>
      <c r="XAO50" s="766"/>
      <c r="XAP50" s="766"/>
      <c r="XAQ50" s="766"/>
      <c r="XAR50" s="766"/>
      <c r="XAS50" s="766"/>
      <c r="XAT50" s="766"/>
      <c r="XAU50" s="766"/>
    </row>
    <row r="51" spans="1:175 16265:16271" s="538" customFormat="1" ht="11.5" hidden="1" customHeight="1" x14ac:dyDescent="0.25">
      <c r="A51" s="757"/>
      <c r="B51" s="777"/>
      <c r="C51" s="778"/>
      <c r="D51" s="778"/>
      <c r="E51" s="771"/>
      <c r="F51" s="771"/>
      <c r="G51" s="778"/>
      <c r="H51" s="771"/>
      <c r="I51" s="771"/>
      <c r="J51" s="778"/>
      <c r="K51" s="771"/>
      <c r="L51" s="771"/>
      <c r="M51" s="771"/>
      <c r="N51" s="765"/>
      <c r="O51" s="748"/>
      <c r="P51" s="765"/>
      <c r="Q51" s="778"/>
      <c r="R51" s="771"/>
      <c r="S51" s="748"/>
      <c r="T51" s="765"/>
      <c r="U51" s="765"/>
      <c r="V51" s="776"/>
      <c r="W51" s="765"/>
      <c r="X51" s="765"/>
      <c r="Y51" s="765"/>
      <c r="Z51" s="765"/>
      <c r="AA51" s="776"/>
      <c r="AB51" s="775"/>
      <c r="AC51" s="776"/>
      <c r="AD51" s="765"/>
      <c r="AH51" s="748"/>
      <c r="AI51" s="748"/>
      <c r="AN51" s="755"/>
      <c r="AO51" s="756"/>
      <c r="XAO51" s="766"/>
      <c r="XAP51" s="766"/>
      <c r="XAQ51" s="766"/>
      <c r="XAR51" s="766"/>
      <c r="XAS51" s="766"/>
      <c r="XAT51" s="766"/>
      <c r="XAU51" s="766"/>
    </row>
    <row r="52" spans="1:175 16265:16271" s="539" customFormat="1" ht="17.25" customHeight="1" x14ac:dyDescent="0.25">
      <c r="A52" s="348"/>
      <c r="B52" s="779"/>
      <c r="C52" s="780"/>
      <c r="D52" s="781"/>
      <c r="E52" s="780"/>
      <c r="F52" s="780"/>
      <c r="G52" s="781"/>
      <c r="H52" s="780"/>
      <c r="I52" s="780"/>
      <c r="J52" s="781"/>
      <c r="K52" s="780"/>
      <c r="L52" s="780"/>
      <c r="M52" s="780"/>
      <c r="N52" s="780"/>
      <c r="O52" s="781"/>
      <c r="P52" s="780"/>
      <c r="Q52" s="782"/>
      <c r="R52" s="783"/>
      <c r="S52" s="781"/>
      <c r="T52" s="780"/>
      <c r="U52" s="780"/>
      <c r="V52" s="780"/>
      <c r="W52" s="780"/>
      <c r="X52" s="780"/>
      <c r="Y52" s="780"/>
      <c r="Z52" s="780"/>
      <c r="AA52" s="780"/>
      <c r="AB52" s="781"/>
      <c r="AC52" s="780"/>
      <c r="AD52" s="780"/>
      <c r="AE52" s="780"/>
      <c r="AF52" s="780"/>
      <c r="AG52" s="780"/>
      <c r="AH52" s="781"/>
      <c r="AI52" s="781"/>
      <c r="AJ52" s="780"/>
      <c r="AK52" s="780"/>
      <c r="AL52" s="780"/>
      <c r="AM52" s="780"/>
      <c r="AN52" s="784"/>
      <c r="AO52" s="785"/>
      <c r="AP52" s="349"/>
      <c r="XAO52" s="786"/>
      <c r="XAP52" s="786"/>
      <c r="XAQ52" s="786"/>
      <c r="XAR52" s="786"/>
      <c r="XAS52" s="786"/>
      <c r="XAT52" s="786"/>
      <c r="XAU52" s="786"/>
    </row>
    <row r="53" spans="1:175 16265:16271" s="540" customFormat="1" ht="17.25" customHeight="1" x14ac:dyDescent="0.25">
      <c r="A53" s="787" t="s">
        <v>38</v>
      </c>
      <c r="B53" s="788"/>
      <c r="C53" s="789">
        <v>1E-4</v>
      </c>
      <c r="D53" s="790">
        <v>1E-4</v>
      </c>
      <c r="E53" s="789"/>
      <c r="F53" s="789"/>
      <c r="G53" s="790"/>
      <c r="H53" s="789"/>
      <c r="I53" s="789"/>
      <c r="J53" s="790">
        <v>1E-4</v>
      </c>
      <c r="K53" s="789"/>
      <c r="L53" s="789">
        <v>1E-4</v>
      </c>
      <c r="M53" s="789"/>
      <c r="N53" s="789"/>
      <c r="O53" s="790">
        <v>1E-4</v>
      </c>
      <c r="P53" s="789"/>
      <c r="Q53" s="790">
        <v>1E-4</v>
      </c>
      <c r="R53" s="789"/>
      <c r="S53" s="790"/>
      <c r="T53" s="789">
        <v>1E-4</v>
      </c>
      <c r="U53" s="789">
        <v>1E-4</v>
      </c>
      <c r="V53" s="789">
        <v>1E-4</v>
      </c>
      <c r="W53" s="789">
        <v>1E-4</v>
      </c>
      <c r="X53" s="789">
        <v>1E-4</v>
      </c>
      <c r="Y53" s="789"/>
      <c r="Z53" s="789">
        <v>1E-4</v>
      </c>
      <c r="AA53" s="789">
        <v>1E-4</v>
      </c>
      <c r="AB53" s="790"/>
      <c r="AC53" s="789"/>
      <c r="AD53" s="789"/>
      <c r="AE53" s="789"/>
      <c r="AF53" s="789"/>
      <c r="AG53" s="789"/>
      <c r="AH53" s="790"/>
      <c r="AI53" s="790"/>
      <c r="AJ53" s="789"/>
      <c r="AK53" s="789"/>
      <c r="AL53" s="789"/>
      <c r="AM53" s="789"/>
      <c r="AN53" s="791"/>
      <c r="AO53" s="792"/>
      <c r="AP53" s="548"/>
      <c r="XAO53" s="793"/>
      <c r="XAP53" s="793"/>
      <c r="XAQ53" s="793"/>
      <c r="XAR53" s="793"/>
      <c r="XAS53" s="793"/>
      <c r="XAT53" s="793"/>
      <c r="XAU53" s="793"/>
    </row>
    <row r="54" spans="1:175 16265:16271" s="536" customFormat="1" ht="17.25" customHeight="1" x14ac:dyDescent="0.25">
      <c r="A54" s="794" t="s">
        <v>123</v>
      </c>
      <c r="B54" s="795" t="s">
        <v>174</v>
      </c>
      <c r="C54" s="796">
        <v>180</v>
      </c>
      <c r="D54" s="564">
        <f>(F54*((O54-3.3)/100))-G54-H54</f>
        <v>10.665641409691631</v>
      </c>
      <c r="E54" s="565" t="e">
        <f t="shared" ref="E54:E119" si="0">(F54/(1-(J54/1000))*((P54-3.3)/100)-G54-I54)*(1-(J54/1000))</f>
        <v>#DIV/0!</v>
      </c>
      <c r="F54" s="559">
        <v>18.399999999999999</v>
      </c>
      <c r="G54" s="562">
        <f t="shared" ref="G54:G57" si="1">K54*0.0037/(1-(J54/1000))</f>
        <v>0.60715859030837005</v>
      </c>
      <c r="H54" s="563">
        <f>MAX(0.7+0.014*O54,1.1)</f>
        <v>1.736</v>
      </c>
      <c r="I54" s="563" t="e">
        <f>MAX((H54+0.9*(B$6-1))/B$6,1.1)</f>
        <v>#DIV/0!</v>
      </c>
      <c r="J54" s="554">
        <v>92</v>
      </c>
      <c r="K54" s="560">
        <v>149</v>
      </c>
      <c r="L54" s="560">
        <f t="shared" ref="L54:L64" si="2">AV54+AX54</f>
        <v>85.272522082191756</v>
      </c>
      <c r="M54" s="560" t="e">
        <f xml:space="preserve">
AR54*0.663
+
(
(
K54
*
(1-(AB54+((AC54*(AD54/100))/((AD54/100)+(AG54/100)))*EXP(-(AG54/100)*AE54))/100))*(AH54/100))</f>
        <v>#DIV/0!</v>
      </c>
      <c r="N54" s="560">
        <v>66</v>
      </c>
      <c r="O54" s="554">
        <v>74</v>
      </c>
      <c r="P54" s="560" t="e">
        <f t="shared" ref="P54:P55" si="3">O54-(1.5+0.05*(O54-65))*(B$6-1)</f>
        <v>#DIV/0!</v>
      </c>
      <c r="Q54" s="557">
        <f t="shared" ref="Q54:Q119" si="4">(AW54-AS54)/6.25</f>
        <v>4.3208021917808246</v>
      </c>
      <c r="R54" s="558" t="e">
        <f>(AT54-AR54)/6.25</f>
        <v>#DIV/0!</v>
      </c>
      <c r="S54" s="554">
        <f>U54+V54-T54</f>
        <v>116</v>
      </c>
      <c r="T54" s="560">
        <v>0</v>
      </c>
      <c r="U54" s="560">
        <v>0</v>
      </c>
      <c r="V54" s="560">
        <v>116</v>
      </c>
      <c r="W54" s="560">
        <v>213</v>
      </c>
      <c r="X54" s="560">
        <v>518</v>
      </c>
      <c r="Y54" s="560">
        <v>518</v>
      </c>
      <c r="Z54" s="560">
        <v>297</v>
      </c>
      <c r="AA54" s="560">
        <v>28</v>
      </c>
      <c r="AB54" s="554">
        <v>57</v>
      </c>
      <c r="AC54" s="558">
        <v>35</v>
      </c>
      <c r="AD54" s="560">
        <v>12</v>
      </c>
      <c r="AE54" s="560">
        <v>0</v>
      </c>
      <c r="AF54" s="565">
        <v>2.6</v>
      </c>
      <c r="AG54" s="565" t="e">
        <f>(1.7286+0.8857*$B$6)</f>
        <v>#DIV/0!</v>
      </c>
      <c r="AH54" s="554">
        <v>87</v>
      </c>
      <c r="AI54" s="797">
        <v>5.8</v>
      </c>
      <c r="AJ54" s="565">
        <v>2.7</v>
      </c>
      <c r="AK54" s="565">
        <v>1.8</v>
      </c>
      <c r="AL54" s="565">
        <v>1.1000000000000001</v>
      </c>
      <c r="AM54" s="565">
        <v>21.3</v>
      </c>
      <c r="AN54" s="798">
        <v>0.04</v>
      </c>
      <c r="AO54" s="799">
        <v>250</v>
      </c>
      <c r="AP54" s="549">
        <v>2.6</v>
      </c>
      <c r="AR54" s="870" t="e">
        <f t="shared" ref="AR54:AR85" si="5">(IF($B$6&lt;3.4,150,IF(-11+47.1*$B$6&lt;180,-11+47.1*$B$6,180)))*((1000-J54)*P54/100)/1000</f>
        <v>#DIV/0!</v>
      </c>
      <c r="AS54" s="541">
        <f t="shared" ref="AS54:AS85" si="6">150*((1000-J54)*O54/100)/1000</f>
        <v>100.788</v>
      </c>
      <c r="AT54" s="542" t="e">
        <f t="shared" ref="AT54:AT85" si="7">K54*((AB54+((AC54*(AD54/100))/((AD54/100)+(AG54/100)))*EXP(-(AG54/100)*AE54))/100)</f>
        <v>#DIV/0!</v>
      </c>
      <c r="AU54" s="543" t="e">
        <f>(1.7286+0.8857*B6)/100</f>
        <v>#DIV/0!</v>
      </c>
      <c r="AV54" s="536">
        <f>AS54*78/100*85/100</f>
        <v>66.82244399999999</v>
      </c>
      <c r="AW54" s="536">
        <f t="shared" ref="AW54:AW84" si="8">K54*((AB54+((AC54*(AD54/100))/((AD54/100)+(AP54/100)))*EXP(-(AP54/100)*AE54))/100)</f>
        <v>127.79301369863015</v>
      </c>
      <c r="AX54" s="544">
        <f t="shared" ref="AX54:AX85" si="9">(K54-AW54)*AH54/100</f>
        <v>18.450078082191773</v>
      </c>
      <c r="XAO54" s="725"/>
      <c r="XAP54" s="725"/>
      <c r="XAQ54" s="725"/>
      <c r="XAR54" s="725"/>
      <c r="XAS54" s="725"/>
      <c r="XAT54" s="725"/>
      <c r="XAU54" s="725"/>
    </row>
    <row r="55" spans="1:175 16265:16271" s="536" customFormat="1" ht="17.25" customHeight="1" x14ac:dyDescent="0.25">
      <c r="A55" s="794" t="s">
        <v>123</v>
      </c>
      <c r="B55" s="795" t="s">
        <v>175</v>
      </c>
      <c r="C55" s="796">
        <v>175</v>
      </c>
      <c r="D55" s="564">
        <f t="shared" ref="D55:D120" si="10">(F55*((O55-3.3)/100))-G55-H55</f>
        <v>9.6344437500000009</v>
      </c>
      <c r="E55" s="565" t="e">
        <f t="shared" si="0"/>
        <v>#DIV/0!</v>
      </c>
      <c r="F55" s="559">
        <v>18.3</v>
      </c>
      <c r="G55" s="562">
        <f t="shared" si="1"/>
        <v>0.72265625000000011</v>
      </c>
      <c r="H55" s="563">
        <f t="shared" ref="H55:H118" si="11">MAX(0.7+0.014*O55,1.1)</f>
        <v>1.6659999999999999</v>
      </c>
      <c r="I55" s="563" t="e">
        <f t="shared" ref="I55:I118" si="12">MAX((H55+0.9*(B$6-1))/B$6,1.1)</f>
        <v>#DIV/0!</v>
      </c>
      <c r="J55" s="554">
        <v>104</v>
      </c>
      <c r="K55" s="560">
        <v>175</v>
      </c>
      <c r="L55" s="560">
        <f t="shared" si="2"/>
        <v>83.029384666666687</v>
      </c>
      <c r="M55" s="560" t="e">
        <f xml:space="preserve">
AR55*0.663
+
(
(
K55
*
(1-(AB55+((AC55*(AD55/100))/((AD55/100)+(AG55/100)))*EXP(-(AG55/100)*AE55))/100))*(AH55/100))</f>
        <v>#DIV/0!</v>
      </c>
      <c r="N55" s="560">
        <v>61</v>
      </c>
      <c r="O55" s="554">
        <v>69</v>
      </c>
      <c r="P55" s="560" t="e">
        <f t="shared" si="3"/>
        <v>#DIV/0!</v>
      </c>
      <c r="Q55" s="557">
        <f t="shared" si="4"/>
        <v>9.288906666666664</v>
      </c>
      <c r="R55" s="559" t="e">
        <f>(AT55-AR55)/6.25</f>
        <v>#DIV/0!</v>
      </c>
      <c r="S55" s="554">
        <f t="shared" ref="S55:S120" si="13">U55+V55-T55</f>
        <v>12</v>
      </c>
      <c r="T55" s="560">
        <v>0</v>
      </c>
      <c r="U55" s="560">
        <v>0</v>
      </c>
      <c r="V55" s="560">
        <v>12</v>
      </c>
      <c r="W55" s="560">
        <v>179</v>
      </c>
      <c r="X55" s="560">
        <v>514</v>
      </c>
      <c r="Y55" s="560">
        <v>514</v>
      </c>
      <c r="Z55" s="560">
        <v>329</v>
      </c>
      <c r="AA55" s="560">
        <v>29</v>
      </c>
      <c r="AB55" s="554">
        <v>67</v>
      </c>
      <c r="AC55" s="558">
        <v>23</v>
      </c>
      <c r="AD55" s="560">
        <v>13</v>
      </c>
      <c r="AE55" s="560">
        <v>0</v>
      </c>
      <c r="AF55" s="565">
        <v>2.6</v>
      </c>
      <c r="AG55" s="565" t="e">
        <f t="shared" ref="AG55:AG72" si="14">(1.7286+0.8857*$B$6)</f>
        <v>#DIV/0!</v>
      </c>
      <c r="AH55" s="554">
        <v>89</v>
      </c>
      <c r="AI55" s="797">
        <v>9.6</v>
      </c>
      <c r="AJ55" s="565">
        <v>2.7</v>
      </c>
      <c r="AK55" s="565">
        <v>1.8</v>
      </c>
      <c r="AL55" s="565">
        <v>0.5</v>
      </c>
      <c r="AM55" s="565">
        <v>23.4</v>
      </c>
      <c r="AN55" s="798">
        <v>0.1</v>
      </c>
      <c r="AO55" s="799">
        <v>358</v>
      </c>
      <c r="AP55" s="549">
        <v>2.6</v>
      </c>
      <c r="AR55" s="870" t="e">
        <f t="shared" si="5"/>
        <v>#DIV/0!</v>
      </c>
      <c r="AS55" s="541">
        <f t="shared" si="6"/>
        <v>92.736000000000004</v>
      </c>
      <c r="AT55" s="542" t="e">
        <f t="shared" si="7"/>
        <v>#DIV/0!</v>
      </c>
      <c r="AU55" s="543" t="e">
        <f>(1.7286+0.8857*B6)/100</f>
        <v>#DIV/0!</v>
      </c>
      <c r="AV55" s="536">
        <f t="shared" ref="AV55:AV120" si="15">AS55*78/100*85/100</f>
        <v>61.483968000000004</v>
      </c>
      <c r="AW55" s="536">
        <f t="shared" si="8"/>
        <v>150.79166666666666</v>
      </c>
      <c r="AX55" s="544">
        <f t="shared" si="9"/>
        <v>21.545416666666675</v>
      </c>
      <c r="XAO55" s="725"/>
      <c r="XAP55" s="725"/>
      <c r="XAQ55" s="725"/>
      <c r="XAR55" s="725"/>
      <c r="XAS55" s="725"/>
      <c r="XAT55" s="725"/>
      <c r="XAU55" s="725"/>
    </row>
    <row r="56" spans="1:175 16265:16271" s="806" customFormat="1" ht="17.25" customHeight="1" x14ac:dyDescent="0.25">
      <c r="A56" s="800" t="s">
        <v>39</v>
      </c>
      <c r="B56" s="801"/>
      <c r="C56" s="561"/>
      <c r="D56" s="803"/>
      <c r="E56" s="561"/>
      <c r="F56" s="802"/>
      <c r="G56" s="803"/>
      <c r="H56" s="561"/>
      <c r="I56" s="561"/>
      <c r="J56" s="555"/>
      <c r="K56" s="561"/>
      <c r="L56" s="561"/>
      <c r="M56" s="561"/>
      <c r="N56" s="561"/>
      <c r="O56" s="555"/>
      <c r="P56" s="561"/>
      <c r="Q56" s="555"/>
      <c r="R56" s="561"/>
      <c r="S56" s="555"/>
      <c r="T56" s="561"/>
      <c r="U56" s="561"/>
      <c r="V56" s="561"/>
      <c r="W56" s="561"/>
      <c r="X56" s="561"/>
      <c r="Y56" s="561"/>
      <c r="Z56" s="561"/>
      <c r="AA56" s="561"/>
      <c r="AB56" s="555"/>
      <c r="AC56" s="561"/>
      <c r="AD56" s="561"/>
      <c r="AE56" s="802"/>
      <c r="AF56" s="802"/>
      <c r="AG56" s="802"/>
      <c r="AH56" s="803"/>
      <c r="AI56" s="803"/>
      <c r="AJ56" s="802"/>
      <c r="AK56" s="802"/>
      <c r="AL56" s="802"/>
      <c r="AM56" s="802"/>
      <c r="AN56" s="804"/>
      <c r="AO56" s="805"/>
      <c r="AP56" s="549">
        <v>2.6</v>
      </c>
      <c r="AR56" s="870" t="e">
        <f t="shared" si="5"/>
        <v>#DIV/0!</v>
      </c>
      <c r="AS56" s="541">
        <f t="shared" si="6"/>
        <v>0</v>
      </c>
      <c r="AT56" s="542" t="e">
        <f t="shared" si="7"/>
        <v>#DIV/0!</v>
      </c>
      <c r="AU56" s="545"/>
      <c r="AV56" s="536">
        <f t="shared" si="15"/>
        <v>0</v>
      </c>
      <c r="AW56" s="536">
        <f t="shared" si="8"/>
        <v>0</v>
      </c>
      <c r="AX56" s="544">
        <f t="shared" si="9"/>
        <v>0</v>
      </c>
      <c r="XAO56" s="807"/>
      <c r="XAP56" s="807"/>
      <c r="XAQ56" s="807"/>
      <c r="XAR56" s="807"/>
      <c r="XAS56" s="807"/>
      <c r="XAT56" s="807"/>
      <c r="XAU56" s="807"/>
    </row>
    <row r="57" spans="1:175 16265:16271" s="536" customFormat="1" ht="17.25" customHeight="1" x14ac:dyDescent="0.25">
      <c r="A57" s="794" t="s">
        <v>123</v>
      </c>
      <c r="B57" s="795" t="s">
        <v>176</v>
      </c>
      <c r="C57" s="796">
        <v>350</v>
      </c>
      <c r="D57" s="564">
        <f t="shared" si="10"/>
        <v>10.469210537870472</v>
      </c>
      <c r="E57" s="565" t="e">
        <f t="shared" si="0"/>
        <v>#DIV/0!</v>
      </c>
      <c r="F57" s="559">
        <v>18.399999999999999</v>
      </c>
      <c r="G57" s="562">
        <f t="shared" si="1"/>
        <v>0.63358946212952805</v>
      </c>
      <c r="H57" s="563">
        <f t="shared" si="11"/>
        <v>1.722</v>
      </c>
      <c r="I57" s="563" t="e">
        <f t="shared" si="12"/>
        <v>#DIV/0!</v>
      </c>
      <c r="J57" s="554">
        <v>89</v>
      </c>
      <c r="K57" s="560">
        <v>156</v>
      </c>
      <c r="L57" s="560">
        <f t="shared" si="2"/>
        <v>85.454093773972602</v>
      </c>
      <c r="M57" s="560" t="e">
        <f t="shared" ref="M57:M67" si="16" xml:space="preserve">
AR57*0.663
+
(
(
K57
*
(1-(AB57+((AC57*(AD57/100))/((AD57/100)+(AG57/100)))*EXP(-(AG57/100)*AE57))/100))*(AH57/100))</f>
        <v>#DIV/0!</v>
      </c>
      <c r="N57" s="560">
        <v>68</v>
      </c>
      <c r="O57" s="554">
        <v>73</v>
      </c>
      <c r="P57" s="560" t="e">
        <f t="shared" ref="P57:P64" si="17">O57-(1.5+0.05*(O57-65))*(B$6-1)</f>
        <v>#DIV/0!</v>
      </c>
      <c r="Q57" s="557">
        <f t="shared" si="4"/>
        <v>5.4467539726027443</v>
      </c>
      <c r="R57" s="559" t="e">
        <f t="shared" ref="R57:R64" si="18">(AT57-AR57)/6.25</f>
        <v>#DIV/0!</v>
      </c>
      <c r="S57" s="554">
        <f t="shared" si="13"/>
        <v>64</v>
      </c>
      <c r="T57" s="560">
        <v>0</v>
      </c>
      <c r="U57" s="560">
        <v>0</v>
      </c>
      <c r="V57" s="560">
        <v>64</v>
      </c>
      <c r="W57" s="560">
        <v>199</v>
      </c>
      <c r="X57" s="560">
        <v>524</v>
      </c>
      <c r="Y57" s="560">
        <v>524</v>
      </c>
      <c r="Z57" s="560">
        <v>284</v>
      </c>
      <c r="AA57" s="560">
        <v>32</v>
      </c>
      <c r="AB57" s="554">
        <v>57</v>
      </c>
      <c r="AC57" s="558">
        <v>35</v>
      </c>
      <c r="AD57" s="560">
        <v>12</v>
      </c>
      <c r="AE57" s="560">
        <v>0</v>
      </c>
      <c r="AF57" s="565">
        <v>2.6</v>
      </c>
      <c r="AG57" s="565" t="e">
        <f t="shared" si="14"/>
        <v>#DIV/0!</v>
      </c>
      <c r="AH57" s="554">
        <v>87</v>
      </c>
      <c r="AI57" s="797">
        <v>5.8</v>
      </c>
      <c r="AJ57" s="565">
        <v>2.7</v>
      </c>
      <c r="AK57" s="565">
        <v>1.8</v>
      </c>
      <c r="AL57" s="565">
        <v>1.1000000000000001</v>
      </c>
      <c r="AM57" s="565">
        <v>21.3</v>
      </c>
      <c r="AN57" s="798">
        <v>0.08</v>
      </c>
      <c r="AO57" s="799">
        <v>250</v>
      </c>
      <c r="AP57" s="549">
        <v>2.6</v>
      </c>
      <c r="AR57" s="870" t="e">
        <f t="shared" si="5"/>
        <v>#DIV/0!</v>
      </c>
      <c r="AS57" s="541">
        <f t="shared" si="6"/>
        <v>99.754499999999993</v>
      </c>
      <c r="AT57" s="542" t="e">
        <f t="shared" si="7"/>
        <v>#DIV/0!</v>
      </c>
      <c r="AU57" s="543" t="e">
        <f>(1.7286+0.8857*B6)/100</f>
        <v>#DIV/0!</v>
      </c>
      <c r="AV57" s="536">
        <f t="shared" si="15"/>
        <v>66.137233500000008</v>
      </c>
      <c r="AW57" s="536">
        <f t="shared" si="8"/>
        <v>133.79671232876714</v>
      </c>
      <c r="AX57" s="544">
        <f t="shared" si="9"/>
        <v>19.316860273972587</v>
      </c>
      <c r="XAO57" s="725"/>
      <c r="XAP57" s="725"/>
      <c r="XAQ57" s="725"/>
      <c r="XAR57" s="725"/>
      <c r="XAS57" s="725"/>
      <c r="XAT57" s="725"/>
      <c r="XAU57" s="725"/>
    </row>
    <row r="58" spans="1:175 16265:16271" s="536" customFormat="1" ht="17.25" customHeight="1" x14ac:dyDescent="0.25">
      <c r="A58" s="794" t="s">
        <v>123</v>
      </c>
      <c r="B58" s="795" t="s">
        <v>177</v>
      </c>
      <c r="C58" s="796">
        <v>350</v>
      </c>
      <c r="D58" s="564">
        <f t="shared" si="10"/>
        <v>9.892622732362824</v>
      </c>
      <c r="E58" s="565" t="e">
        <f>(F58/(1-(J58/1000))*((P58-3.3)/100)-G58-I58)*(1-(J58/1000))</f>
        <v>#DIV/0!</v>
      </c>
      <c r="F58" s="559">
        <v>18.100000000000001</v>
      </c>
      <c r="G58" s="562">
        <f>K58*0.0037/(1-(J58/1000))</f>
        <v>0.66707726763717801</v>
      </c>
      <c r="H58" s="563">
        <f t="shared" si="11"/>
        <v>1.694</v>
      </c>
      <c r="I58" s="563" t="e">
        <f t="shared" si="12"/>
        <v>#DIV/0!</v>
      </c>
      <c r="J58" s="554">
        <v>107</v>
      </c>
      <c r="K58" s="560">
        <v>161</v>
      </c>
      <c r="L58" s="560">
        <f t="shared" si="2"/>
        <v>82.990273910958877</v>
      </c>
      <c r="M58" s="560" t="e">
        <f t="shared" si="16"/>
        <v>#DIV/0!</v>
      </c>
      <c r="N58" s="560">
        <v>63</v>
      </c>
      <c r="O58" s="554">
        <v>71</v>
      </c>
      <c r="P58" s="560" t="e">
        <f>O58-(1.5+0.05*(O58-65))*(B$6-1)</f>
        <v>#DIV/0!</v>
      </c>
      <c r="Q58" s="557">
        <f t="shared" si="4"/>
        <v>6.8768909589041138</v>
      </c>
      <c r="R58" s="559">
        <v>6.8</v>
      </c>
      <c r="S58" s="554">
        <f t="shared" si="13"/>
        <v>61</v>
      </c>
      <c r="T58" s="560">
        <v>0</v>
      </c>
      <c r="U58" s="560">
        <v>0</v>
      </c>
      <c r="V58" s="560">
        <v>61</v>
      </c>
      <c r="W58" s="560">
        <v>151</v>
      </c>
      <c r="X58" s="560">
        <v>550</v>
      </c>
      <c r="Y58" s="560">
        <v>550</v>
      </c>
      <c r="Z58" s="560">
        <v>279</v>
      </c>
      <c r="AA58" s="560">
        <v>31</v>
      </c>
      <c r="AB58" s="554">
        <v>57</v>
      </c>
      <c r="AC58" s="558">
        <v>35</v>
      </c>
      <c r="AD58" s="560">
        <v>12</v>
      </c>
      <c r="AE58" s="560">
        <v>0</v>
      </c>
      <c r="AF58" s="565">
        <v>2.6</v>
      </c>
      <c r="AG58" s="565" t="e">
        <f t="shared" si="14"/>
        <v>#DIV/0!</v>
      </c>
      <c r="AH58" s="554">
        <v>87</v>
      </c>
      <c r="AI58" s="797">
        <v>7.6</v>
      </c>
      <c r="AJ58" s="565">
        <v>2.7</v>
      </c>
      <c r="AK58" s="565">
        <v>2.2999999999999998</v>
      </c>
      <c r="AL58" s="565">
        <v>1.3</v>
      </c>
      <c r="AM58" s="565">
        <v>19</v>
      </c>
      <c r="AN58" s="798">
        <v>0.05</v>
      </c>
      <c r="AO58" s="799">
        <v>117</v>
      </c>
      <c r="AP58" s="549">
        <v>2.6</v>
      </c>
      <c r="AR58" s="870" t="e">
        <f t="shared" si="5"/>
        <v>#DIV/0!</v>
      </c>
      <c r="AS58" s="541">
        <f t="shared" si="6"/>
        <v>95.104500000000002</v>
      </c>
      <c r="AT58" s="542" t="e">
        <f t="shared" si="7"/>
        <v>#DIV/0!</v>
      </c>
      <c r="AU58" s="543" t="e">
        <f>(1.7286+0.8857*B6)/100</f>
        <v>#DIV/0!</v>
      </c>
      <c r="AV58" s="536">
        <f t="shared" si="15"/>
        <v>63.054283500000004</v>
      </c>
      <c r="AW58" s="536">
        <f t="shared" si="8"/>
        <v>138.08506849315071</v>
      </c>
      <c r="AX58" s="544">
        <f t="shared" si="9"/>
        <v>19.935990410958876</v>
      </c>
      <c r="XAO58" s="725"/>
      <c r="XAP58" s="725"/>
      <c r="XAQ58" s="725"/>
      <c r="XAR58" s="725"/>
      <c r="XAS58" s="725"/>
      <c r="XAT58" s="725"/>
      <c r="XAU58" s="725"/>
    </row>
    <row r="59" spans="1:175 16265:16271" s="536" customFormat="1" ht="17.25" customHeight="1" x14ac:dyDescent="0.25">
      <c r="A59" s="794" t="s">
        <v>123</v>
      </c>
      <c r="B59" s="795" t="s">
        <v>178</v>
      </c>
      <c r="C59" s="796">
        <v>350</v>
      </c>
      <c r="D59" s="564">
        <f t="shared" si="10"/>
        <v>10.00073105022831</v>
      </c>
      <c r="E59" s="565" t="e">
        <f t="shared" si="0"/>
        <v>#DIV/0!</v>
      </c>
      <c r="F59" s="559">
        <v>17.7</v>
      </c>
      <c r="G59" s="562">
        <f t="shared" ref="G59:G122" si="19">K59*0.0037/(1-(J59/1000))</f>
        <v>0.7771689497716896</v>
      </c>
      <c r="H59" s="563">
        <f t="shared" si="11"/>
        <v>1.736</v>
      </c>
      <c r="I59" s="563" t="e">
        <f t="shared" si="12"/>
        <v>#DIV/0!</v>
      </c>
      <c r="J59" s="554">
        <v>124</v>
      </c>
      <c r="K59" s="560">
        <v>184</v>
      </c>
      <c r="L59" s="560">
        <f t="shared" si="2"/>
        <v>87.251457041095875</v>
      </c>
      <c r="M59" s="560" t="e">
        <f t="shared" si="16"/>
        <v>#DIV/0!</v>
      </c>
      <c r="N59" s="560">
        <v>55</v>
      </c>
      <c r="O59" s="554">
        <v>74</v>
      </c>
      <c r="P59" s="560" t="e">
        <f t="shared" si="17"/>
        <v>#DIV/0!</v>
      </c>
      <c r="Q59" s="557">
        <f t="shared" si="4"/>
        <v>9.6920810958904138</v>
      </c>
      <c r="R59" s="559" t="e">
        <f t="shared" si="18"/>
        <v>#DIV/0!</v>
      </c>
      <c r="S59" s="554">
        <f t="shared" si="13"/>
        <v>39</v>
      </c>
      <c r="T59" s="560">
        <v>0</v>
      </c>
      <c r="U59" s="560">
        <v>0</v>
      </c>
      <c r="V59" s="560">
        <v>39</v>
      </c>
      <c r="W59" s="560">
        <v>135</v>
      </c>
      <c r="X59" s="560">
        <v>506</v>
      </c>
      <c r="Y59" s="560">
        <v>506</v>
      </c>
      <c r="Z59" s="560">
        <v>245</v>
      </c>
      <c r="AA59" s="560">
        <v>35</v>
      </c>
      <c r="AB59" s="554">
        <v>57</v>
      </c>
      <c r="AC59" s="558">
        <v>35</v>
      </c>
      <c r="AD59" s="560">
        <v>12</v>
      </c>
      <c r="AE59" s="560">
        <v>0</v>
      </c>
      <c r="AF59" s="565">
        <v>2.6</v>
      </c>
      <c r="AG59" s="565" t="e">
        <f t="shared" si="14"/>
        <v>#DIV/0!</v>
      </c>
      <c r="AH59" s="554">
        <v>87</v>
      </c>
      <c r="AI59" s="797">
        <v>6.9</v>
      </c>
      <c r="AJ59" s="565">
        <v>3.3</v>
      </c>
      <c r="AK59" s="565">
        <v>2.1</v>
      </c>
      <c r="AL59" s="565">
        <v>0.3</v>
      </c>
      <c r="AM59" s="565">
        <v>24.7</v>
      </c>
      <c r="AN59" s="798">
        <v>0.05</v>
      </c>
      <c r="AO59" s="799">
        <v>238</v>
      </c>
      <c r="AP59" s="549">
        <v>2.6</v>
      </c>
      <c r="AR59" s="870" t="e">
        <f t="shared" si="5"/>
        <v>#DIV/0!</v>
      </c>
      <c r="AS59" s="541">
        <f t="shared" si="6"/>
        <v>97.236000000000004</v>
      </c>
      <c r="AT59" s="542" t="e">
        <f t="shared" si="7"/>
        <v>#DIV/0!</v>
      </c>
      <c r="AU59" s="543" t="e">
        <f>(1.7286+0.8857*B6)/100</f>
        <v>#DIV/0!</v>
      </c>
      <c r="AV59" s="536">
        <f t="shared" si="15"/>
        <v>64.467468000000011</v>
      </c>
      <c r="AW59" s="536">
        <f t="shared" si="8"/>
        <v>157.81150684931509</v>
      </c>
      <c r="AX59" s="544">
        <f t="shared" si="9"/>
        <v>22.783989041095868</v>
      </c>
      <c r="XAO59" s="725"/>
      <c r="XAP59" s="725"/>
      <c r="XAQ59" s="725"/>
      <c r="XAR59" s="725"/>
      <c r="XAS59" s="725"/>
      <c r="XAT59" s="725"/>
      <c r="XAU59" s="725"/>
    </row>
    <row r="60" spans="1:175 16265:16271" s="536" customFormat="1" ht="17.25" customHeight="1" x14ac:dyDescent="0.25">
      <c r="A60" s="794" t="s">
        <v>123</v>
      </c>
      <c r="B60" s="795" t="s">
        <v>214</v>
      </c>
      <c r="C60" s="796">
        <v>360</v>
      </c>
      <c r="D60" s="564">
        <f t="shared" si="10"/>
        <v>11.832602335928811</v>
      </c>
      <c r="E60" s="565" t="e">
        <f t="shared" si="0"/>
        <v>#DIV/0!</v>
      </c>
      <c r="F60" s="559">
        <v>18.5</v>
      </c>
      <c r="G60" s="562">
        <f>K60*0.0037/(1-(J60/1000))</f>
        <v>0.70789766407119026</v>
      </c>
      <c r="H60" s="563">
        <f t="shared" si="11"/>
        <v>1.8340000000000001</v>
      </c>
      <c r="I60" s="563" t="e">
        <f t="shared" si="12"/>
        <v>#DIV/0!</v>
      </c>
      <c r="J60" s="554">
        <v>101</v>
      </c>
      <c r="K60" s="560">
        <v>172</v>
      </c>
      <c r="L60" s="560">
        <f>AV60+AX60</f>
        <v>93.716572212328771</v>
      </c>
      <c r="M60" s="560" t="e">
        <f t="shared" si="16"/>
        <v>#DIV/0!</v>
      </c>
      <c r="N60" s="560">
        <v>72</v>
      </c>
      <c r="O60" s="554">
        <v>81</v>
      </c>
      <c r="P60" s="560" t="e">
        <f t="shared" si="17"/>
        <v>#DIV/0!</v>
      </c>
      <c r="Q60" s="557">
        <f t="shared" si="4"/>
        <v>6.1265523287671222</v>
      </c>
      <c r="R60" s="559" t="e">
        <f t="shared" si="18"/>
        <v>#DIV/0!</v>
      </c>
      <c r="S60" s="554">
        <f>U60+V60-T60</f>
        <v>47</v>
      </c>
      <c r="T60" s="560">
        <v>0</v>
      </c>
      <c r="U60" s="560">
        <v>0</v>
      </c>
      <c r="V60" s="560">
        <v>47</v>
      </c>
      <c r="W60" s="560">
        <v>255</v>
      </c>
      <c r="X60" s="560">
        <v>434</v>
      </c>
      <c r="Y60" s="560">
        <v>434</v>
      </c>
      <c r="Z60" s="560">
        <v>271</v>
      </c>
      <c r="AA60" s="560">
        <v>38</v>
      </c>
      <c r="AB60" s="554">
        <v>57</v>
      </c>
      <c r="AC60" s="558">
        <v>35</v>
      </c>
      <c r="AD60" s="560">
        <v>12</v>
      </c>
      <c r="AE60" s="560">
        <v>0</v>
      </c>
      <c r="AF60" s="565">
        <v>2.6</v>
      </c>
      <c r="AG60" s="565" t="e">
        <f t="shared" si="14"/>
        <v>#DIV/0!</v>
      </c>
      <c r="AH60" s="554">
        <v>87</v>
      </c>
      <c r="AI60" s="797">
        <v>7.5</v>
      </c>
      <c r="AJ60" s="565">
        <v>3.3</v>
      </c>
      <c r="AK60" s="565">
        <v>3.3</v>
      </c>
      <c r="AL60" s="565">
        <v>0.3</v>
      </c>
      <c r="AM60" s="565">
        <v>24.7</v>
      </c>
      <c r="AN60" s="798">
        <v>0.1</v>
      </c>
      <c r="AO60" s="799">
        <v>329</v>
      </c>
      <c r="AP60" s="549">
        <v>2.6</v>
      </c>
      <c r="AR60" s="870" t="e">
        <f t="shared" si="5"/>
        <v>#DIV/0!</v>
      </c>
      <c r="AS60" s="541">
        <f t="shared" si="6"/>
        <v>109.22850000000001</v>
      </c>
      <c r="AT60" s="542" t="e">
        <f t="shared" si="7"/>
        <v>#DIV/0!</v>
      </c>
      <c r="AU60" s="543" t="e">
        <f>(1.7286+0.8857*B6)/100</f>
        <v>#DIV/0!</v>
      </c>
      <c r="AV60" s="536">
        <f t="shared" si="15"/>
        <v>72.418495500000006</v>
      </c>
      <c r="AW60" s="536">
        <f t="shared" si="8"/>
        <v>147.51945205479453</v>
      </c>
      <c r="AX60" s="544">
        <f t="shared" si="9"/>
        <v>21.298076712328761</v>
      </c>
      <c r="XAO60" s="725"/>
      <c r="XAP60" s="725"/>
      <c r="XAQ60" s="725"/>
      <c r="XAR60" s="725"/>
      <c r="XAS60" s="725"/>
      <c r="XAT60" s="725"/>
      <c r="XAU60" s="725"/>
    </row>
    <row r="61" spans="1:175 16265:16271" s="869" customFormat="1" ht="17.25" customHeight="1" x14ac:dyDescent="0.25">
      <c r="A61" s="868" t="s">
        <v>123</v>
      </c>
      <c r="B61" s="795" t="s">
        <v>179</v>
      </c>
      <c r="C61" s="796">
        <v>347</v>
      </c>
      <c r="D61" s="564">
        <f>(F61*((O61-3.3)/100))-G61-H61</f>
        <v>11.610637044745058</v>
      </c>
      <c r="E61" s="821" t="e">
        <f t="shared" si="0"/>
        <v>#DIV/0!</v>
      </c>
      <c r="F61" s="816">
        <v>18.600000000000001</v>
      </c>
      <c r="G61" s="881">
        <f t="shared" si="19"/>
        <v>0.31956295525494283</v>
      </c>
      <c r="H61" s="563">
        <f t="shared" si="11"/>
        <v>1.778</v>
      </c>
      <c r="I61" s="563" t="e">
        <f t="shared" si="12"/>
        <v>#DIV/0!</v>
      </c>
      <c r="J61" s="556">
        <v>39</v>
      </c>
      <c r="K61" s="818">
        <v>83</v>
      </c>
      <c r="L61" s="818">
        <f>AV61+AX61</f>
        <v>85.904777492285859</v>
      </c>
      <c r="M61" s="818" t="e">
        <f t="shared" si="16"/>
        <v>#DIV/0!</v>
      </c>
      <c r="N61" s="818">
        <v>73</v>
      </c>
      <c r="O61" s="556">
        <v>77</v>
      </c>
      <c r="P61" s="818" t="e">
        <f>O61-(1.5+0.05*(O61-65))*(B$6-1)</f>
        <v>#DIV/0!</v>
      </c>
      <c r="Q61" s="557">
        <f>(AW61-AS61)/6.25</f>
        <v>-7.6572828367189318</v>
      </c>
      <c r="R61" s="816" t="e">
        <f t="shared" si="18"/>
        <v>#DIV/0!</v>
      </c>
      <c r="S61" s="556">
        <f t="shared" si="13"/>
        <v>282</v>
      </c>
      <c r="T61" s="818">
        <v>48</v>
      </c>
      <c r="U61" s="818">
        <v>319</v>
      </c>
      <c r="V61" s="818">
        <v>11</v>
      </c>
      <c r="W61" s="818">
        <v>459</v>
      </c>
      <c r="X61" s="818">
        <v>389</v>
      </c>
      <c r="Y61" s="818">
        <v>389</v>
      </c>
      <c r="Z61" s="818">
        <v>205</v>
      </c>
      <c r="AA61" s="818">
        <v>30</v>
      </c>
      <c r="AB61" s="556">
        <v>58</v>
      </c>
      <c r="AC61" s="810">
        <v>31</v>
      </c>
      <c r="AD61" s="818">
        <v>4</v>
      </c>
      <c r="AE61" s="818">
        <v>1.5</v>
      </c>
      <c r="AF61" s="565">
        <v>2.6</v>
      </c>
      <c r="AG61" s="821" t="e">
        <f>(1.7286+0.8857*$B$6)</f>
        <v>#DIV/0!</v>
      </c>
      <c r="AH61" s="556">
        <v>62</v>
      </c>
      <c r="AI61" s="557">
        <v>1.7</v>
      </c>
      <c r="AJ61" s="821">
        <v>2</v>
      </c>
      <c r="AK61" s="821">
        <v>1.5</v>
      </c>
      <c r="AL61" s="821">
        <v>3</v>
      </c>
      <c r="AM61" s="821">
        <v>9.3000000000000007</v>
      </c>
      <c r="AN61" s="822">
        <v>0.01</v>
      </c>
      <c r="AO61" s="882">
        <v>138</v>
      </c>
      <c r="AP61" s="549">
        <v>2.6</v>
      </c>
      <c r="AR61" s="870" t="e">
        <f t="shared" si="5"/>
        <v>#DIV/0!</v>
      </c>
      <c r="AS61" s="870">
        <f t="shared" si="6"/>
        <v>110.99550000000001</v>
      </c>
      <c r="AT61" s="871" t="e">
        <f t="shared" si="7"/>
        <v>#DIV/0!</v>
      </c>
      <c r="AU61" s="872" t="e">
        <f>(1.7286+0.8857*B6)/100</f>
        <v>#DIV/0!</v>
      </c>
      <c r="AV61" s="869">
        <f>AS61*78/100*85/100</f>
        <v>73.590016500000004</v>
      </c>
      <c r="AW61" s="869">
        <f t="shared" si="8"/>
        <v>63.13748227050668</v>
      </c>
      <c r="AX61" s="873">
        <f t="shared" si="9"/>
        <v>12.314760992285859</v>
      </c>
      <c r="AY61" s="725"/>
      <c r="AZ61" s="725"/>
      <c r="BA61" s="725"/>
      <c r="BB61" s="725"/>
      <c r="BC61" s="725"/>
      <c r="BD61" s="725"/>
      <c r="BE61" s="725"/>
      <c r="BF61" s="725"/>
      <c r="BG61" s="725"/>
      <c r="BH61" s="725"/>
      <c r="BI61" s="725"/>
      <c r="BJ61" s="725"/>
      <c r="BK61" s="725"/>
      <c r="BL61" s="725"/>
      <c r="BM61" s="725"/>
      <c r="BN61" s="725"/>
      <c r="BO61" s="725"/>
      <c r="BP61" s="725"/>
      <c r="BQ61" s="725"/>
      <c r="BR61" s="725"/>
      <c r="BS61" s="725"/>
      <c r="BT61" s="725"/>
      <c r="BU61" s="725"/>
      <c r="BV61" s="725"/>
      <c r="BW61" s="725"/>
      <c r="BX61" s="725"/>
      <c r="BY61" s="725"/>
      <c r="BZ61" s="725"/>
      <c r="CA61" s="725"/>
      <c r="CB61" s="725"/>
      <c r="CC61" s="725"/>
      <c r="CD61" s="725"/>
      <c r="CE61" s="725"/>
      <c r="CF61" s="725"/>
      <c r="CG61" s="725"/>
      <c r="CH61" s="725"/>
      <c r="CI61" s="725"/>
      <c r="CJ61" s="725"/>
      <c r="CK61" s="725"/>
      <c r="CL61" s="725"/>
      <c r="CM61" s="725"/>
      <c r="CN61" s="725"/>
      <c r="CO61" s="725"/>
      <c r="CP61" s="725"/>
      <c r="CQ61" s="725"/>
      <c r="CR61" s="725"/>
      <c r="CS61" s="725"/>
      <c r="CT61" s="725"/>
      <c r="CU61" s="725"/>
      <c r="CV61" s="725"/>
      <c r="CW61" s="725"/>
      <c r="CX61" s="725"/>
      <c r="CY61" s="725"/>
      <c r="CZ61" s="725"/>
      <c r="DA61" s="725"/>
      <c r="DB61" s="725"/>
      <c r="DC61" s="725"/>
      <c r="DD61" s="725"/>
      <c r="DE61" s="725"/>
      <c r="DF61" s="725"/>
      <c r="DG61" s="725"/>
      <c r="DH61" s="725"/>
      <c r="DI61" s="725"/>
      <c r="DJ61" s="725"/>
      <c r="DK61" s="725"/>
      <c r="DL61" s="725"/>
      <c r="DM61" s="725"/>
      <c r="DN61" s="725"/>
      <c r="DO61" s="725"/>
      <c r="DP61" s="725"/>
      <c r="DQ61" s="725"/>
      <c r="DR61" s="725"/>
      <c r="DS61" s="725"/>
      <c r="DT61" s="725"/>
      <c r="DU61" s="725"/>
      <c r="DV61" s="725"/>
      <c r="DW61" s="725"/>
      <c r="DX61" s="725"/>
      <c r="DY61" s="725"/>
      <c r="DZ61" s="725"/>
      <c r="EA61" s="725"/>
      <c r="EB61" s="725"/>
      <c r="EC61" s="725"/>
      <c r="ED61" s="725"/>
      <c r="EE61" s="725"/>
      <c r="EF61" s="725"/>
      <c r="EG61" s="725"/>
      <c r="EH61" s="725"/>
      <c r="EI61" s="725"/>
      <c r="EJ61" s="725"/>
      <c r="EK61" s="725"/>
      <c r="EL61" s="725"/>
      <c r="EM61" s="725"/>
      <c r="EN61" s="725"/>
      <c r="EO61" s="725"/>
      <c r="EP61" s="725"/>
      <c r="EQ61" s="725"/>
      <c r="ER61" s="725"/>
      <c r="ES61" s="725"/>
      <c r="ET61" s="725"/>
      <c r="EU61" s="725"/>
      <c r="EV61" s="725"/>
      <c r="EW61" s="725"/>
      <c r="EX61" s="725"/>
      <c r="EY61" s="725"/>
      <c r="EZ61" s="725"/>
      <c r="FA61" s="725"/>
      <c r="FB61" s="725"/>
      <c r="FC61" s="725"/>
      <c r="FD61" s="725"/>
      <c r="FE61" s="725"/>
      <c r="FF61" s="725"/>
      <c r="FG61" s="725"/>
      <c r="FH61" s="725"/>
      <c r="FI61" s="725"/>
      <c r="FJ61" s="725"/>
      <c r="FK61" s="725"/>
      <c r="FL61" s="725"/>
      <c r="FM61" s="725"/>
      <c r="FN61" s="725"/>
      <c r="FO61" s="725"/>
      <c r="FP61" s="725"/>
      <c r="FQ61" s="725"/>
      <c r="FR61" s="725"/>
      <c r="FS61" s="725"/>
    </row>
    <row r="62" spans="1:175 16265:16271" s="536" customFormat="1" ht="17.25" customHeight="1" x14ac:dyDescent="0.25">
      <c r="A62" s="794" t="s">
        <v>123</v>
      </c>
      <c r="B62" s="795" t="s">
        <v>180</v>
      </c>
      <c r="C62" s="796">
        <v>343</v>
      </c>
      <c r="D62" s="564">
        <f t="shared" si="10"/>
        <v>11.105866666666667</v>
      </c>
      <c r="E62" s="565" t="e">
        <f t="shared" si="0"/>
        <v>#DIV/0!</v>
      </c>
      <c r="F62" s="559">
        <v>18.600000000000001</v>
      </c>
      <c r="G62" s="562">
        <f t="shared" si="19"/>
        <v>0.3083333333333334</v>
      </c>
      <c r="H62" s="563">
        <f t="shared" si="11"/>
        <v>1.736</v>
      </c>
      <c r="I62" s="563" t="e">
        <f t="shared" si="12"/>
        <v>#DIV/0!</v>
      </c>
      <c r="J62" s="554">
        <v>40</v>
      </c>
      <c r="K62" s="560">
        <v>80</v>
      </c>
      <c r="L62" s="560">
        <f t="shared" si="2"/>
        <v>82.518929149191194</v>
      </c>
      <c r="M62" s="560" t="e">
        <f t="shared" si="16"/>
        <v>#DIV/0!</v>
      </c>
      <c r="N62" s="560">
        <v>71</v>
      </c>
      <c r="O62" s="554">
        <v>74</v>
      </c>
      <c r="P62" s="560" t="e">
        <f t="shared" si="17"/>
        <v>#DIV/0!</v>
      </c>
      <c r="Q62" s="557">
        <f t="shared" si="4"/>
        <v>-7.3127352643074035</v>
      </c>
      <c r="R62" s="559" t="e">
        <f t="shared" si="18"/>
        <v>#DIV/0!</v>
      </c>
      <c r="S62" s="554">
        <f t="shared" si="13"/>
        <v>274</v>
      </c>
      <c r="T62" s="560">
        <v>46</v>
      </c>
      <c r="U62" s="560">
        <v>309</v>
      </c>
      <c r="V62" s="560">
        <v>11</v>
      </c>
      <c r="W62" s="560">
        <v>449</v>
      </c>
      <c r="X62" s="560">
        <v>401</v>
      </c>
      <c r="Y62" s="560">
        <v>401</v>
      </c>
      <c r="Z62" s="560">
        <v>215</v>
      </c>
      <c r="AA62" s="560">
        <v>30</v>
      </c>
      <c r="AB62" s="554">
        <v>58</v>
      </c>
      <c r="AC62" s="558">
        <v>31</v>
      </c>
      <c r="AD62" s="560">
        <v>4</v>
      </c>
      <c r="AE62" s="560">
        <v>1.5</v>
      </c>
      <c r="AF62" s="565">
        <v>2.6</v>
      </c>
      <c r="AG62" s="565" t="e">
        <f t="shared" si="14"/>
        <v>#DIV/0!</v>
      </c>
      <c r="AH62" s="554">
        <v>62</v>
      </c>
      <c r="AI62" s="797">
        <v>1.8</v>
      </c>
      <c r="AJ62" s="565">
        <v>2.1</v>
      </c>
      <c r="AK62" s="565">
        <v>1.5</v>
      </c>
      <c r="AL62" s="565">
        <v>0.1</v>
      </c>
      <c r="AM62" s="565">
        <v>9.6999999999999993</v>
      </c>
      <c r="AN62" s="798">
        <v>0.01</v>
      </c>
      <c r="AO62" s="799">
        <v>148</v>
      </c>
      <c r="AP62" s="549">
        <v>2.6</v>
      </c>
      <c r="AR62" s="870" t="e">
        <f t="shared" si="5"/>
        <v>#DIV/0!</v>
      </c>
      <c r="AS62" s="541">
        <f t="shared" si="6"/>
        <v>106.56</v>
      </c>
      <c r="AT62" s="542" t="e">
        <f t="shared" si="7"/>
        <v>#DIV/0!</v>
      </c>
      <c r="AU62" s="543" t="e">
        <f>(1.7286+0.8857*B6)/100</f>
        <v>#DIV/0!</v>
      </c>
      <c r="AV62" s="536">
        <f t="shared" si="15"/>
        <v>70.649280000000005</v>
      </c>
      <c r="AW62" s="536">
        <f t="shared" si="8"/>
        <v>60.855404598078728</v>
      </c>
      <c r="AX62" s="544">
        <f t="shared" si="9"/>
        <v>11.869649149191188</v>
      </c>
      <c r="XAO62" s="725"/>
      <c r="XAP62" s="725"/>
      <c r="XAQ62" s="725"/>
      <c r="XAR62" s="725"/>
      <c r="XAS62" s="725"/>
      <c r="XAT62" s="725"/>
      <c r="XAU62" s="725"/>
    </row>
    <row r="63" spans="1:175 16265:16271" s="536" customFormat="1" ht="17.25" customHeight="1" x14ac:dyDescent="0.25">
      <c r="A63" s="794" t="s">
        <v>123</v>
      </c>
      <c r="B63" s="795" t="s">
        <v>181</v>
      </c>
      <c r="C63" s="796">
        <v>338</v>
      </c>
      <c r="D63" s="564">
        <f t="shared" si="10"/>
        <v>10.604977893639209</v>
      </c>
      <c r="E63" s="565" t="e">
        <f t="shared" si="0"/>
        <v>#DIV/0!</v>
      </c>
      <c r="F63" s="559">
        <v>18.600000000000001</v>
      </c>
      <c r="G63" s="562">
        <f t="shared" si="19"/>
        <v>0.29322210636079249</v>
      </c>
      <c r="H63" s="563">
        <f t="shared" si="11"/>
        <v>1.694</v>
      </c>
      <c r="I63" s="563" t="e">
        <f t="shared" si="12"/>
        <v>#DIV/0!</v>
      </c>
      <c r="J63" s="554">
        <v>41</v>
      </c>
      <c r="K63" s="560">
        <v>76</v>
      </c>
      <c r="L63" s="560">
        <f>AV63+AX63</f>
        <v>78.990677191731635</v>
      </c>
      <c r="M63" s="560" t="e">
        <f t="shared" si="16"/>
        <v>#DIV/0!</v>
      </c>
      <c r="N63" s="560">
        <v>67</v>
      </c>
      <c r="O63" s="554">
        <v>71</v>
      </c>
      <c r="P63" s="560" t="e">
        <f t="shared" si="17"/>
        <v>#DIV/0!</v>
      </c>
      <c r="Q63" s="557">
        <f t="shared" si="4"/>
        <v>-7.0913385010920331</v>
      </c>
      <c r="R63" s="559" t="e">
        <f t="shared" si="18"/>
        <v>#DIV/0!</v>
      </c>
      <c r="S63" s="554">
        <f t="shared" si="13"/>
        <v>265</v>
      </c>
      <c r="T63" s="560">
        <v>45</v>
      </c>
      <c r="U63" s="560">
        <v>298</v>
      </c>
      <c r="V63" s="560">
        <v>12</v>
      </c>
      <c r="W63" s="560">
        <v>437</v>
      </c>
      <c r="X63" s="560">
        <v>417</v>
      </c>
      <c r="Y63" s="560">
        <v>417</v>
      </c>
      <c r="Z63" s="560">
        <v>227</v>
      </c>
      <c r="AA63" s="560">
        <v>29</v>
      </c>
      <c r="AB63" s="554">
        <v>58</v>
      </c>
      <c r="AC63" s="558">
        <v>31</v>
      </c>
      <c r="AD63" s="560">
        <v>4</v>
      </c>
      <c r="AE63" s="560">
        <v>1.5</v>
      </c>
      <c r="AF63" s="565">
        <v>2.6</v>
      </c>
      <c r="AG63" s="565" t="e">
        <f t="shared" si="14"/>
        <v>#DIV/0!</v>
      </c>
      <c r="AH63" s="554">
        <v>62</v>
      </c>
      <c r="AI63" s="797">
        <v>1.8</v>
      </c>
      <c r="AJ63" s="565">
        <v>2.1</v>
      </c>
      <c r="AK63" s="565">
        <v>1.5</v>
      </c>
      <c r="AL63" s="565">
        <v>0.1</v>
      </c>
      <c r="AM63" s="565">
        <v>9.8000000000000007</v>
      </c>
      <c r="AN63" s="798">
        <v>0.01</v>
      </c>
      <c r="AO63" s="799">
        <v>169</v>
      </c>
      <c r="AP63" s="549">
        <v>2.6</v>
      </c>
      <c r="AR63" s="870" t="e">
        <f t="shared" si="5"/>
        <v>#DIV/0!</v>
      </c>
      <c r="AS63" s="541">
        <f t="shared" si="6"/>
        <v>102.1335</v>
      </c>
      <c r="AT63" s="542" t="e">
        <f t="shared" si="7"/>
        <v>#DIV/0!</v>
      </c>
      <c r="AU63" s="543" t="e">
        <f>(1.7286+0.8857*B6)/100</f>
        <v>#DIV/0!</v>
      </c>
      <c r="AV63" s="536">
        <f t="shared" si="15"/>
        <v>67.714510500000003</v>
      </c>
      <c r="AW63" s="536">
        <f t="shared" si="8"/>
        <v>57.812634368174791</v>
      </c>
      <c r="AX63" s="544">
        <f t="shared" si="9"/>
        <v>11.27616669173163</v>
      </c>
      <c r="XAO63" s="725"/>
      <c r="XAP63" s="725"/>
      <c r="XAQ63" s="725"/>
      <c r="XAR63" s="725"/>
      <c r="XAS63" s="725"/>
      <c r="XAT63" s="725"/>
      <c r="XAU63" s="725"/>
    </row>
    <row r="64" spans="1:175 16265:16271" s="536" customFormat="1" ht="17.25" customHeight="1" x14ac:dyDescent="0.25">
      <c r="A64" s="794" t="s">
        <v>123</v>
      </c>
      <c r="B64" s="795" t="s">
        <v>182</v>
      </c>
      <c r="C64" s="796">
        <v>350</v>
      </c>
      <c r="D64" s="564">
        <f t="shared" si="10"/>
        <v>11.188520572057204</v>
      </c>
      <c r="E64" s="565" t="e">
        <f t="shared" si="0"/>
        <v>#DIV/0!</v>
      </c>
      <c r="F64" s="559">
        <v>18.399999999999999</v>
      </c>
      <c r="G64" s="562">
        <f t="shared" si="19"/>
        <v>0.59427942794279431</v>
      </c>
      <c r="H64" s="563">
        <f t="shared" si="11"/>
        <v>1.778</v>
      </c>
      <c r="I64" s="563" t="e">
        <f t="shared" si="12"/>
        <v>#DIV/0!</v>
      </c>
      <c r="J64" s="554">
        <v>91</v>
      </c>
      <c r="K64" s="560">
        <v>146</v>
      </c>
      <c r="L64" s="560">
        <f t="shared" si="2"/>
        <v>87.813007174698811</v>
      </c>
      <c r="M64" s="560" t="e">
        <f t="shared" si="16"/>
        <v>#DIV/0!</v>
      </c>
      <c r="N64" s="560">
        <v>65</v>
      </c>
      <c r="O64" s="554">
        <v>77</v>
      </c>
      <c r="P64" s="560" t="e">
        <f t="shared" si="17"/>
        <v>#DIV/0!</v>
      </c>
      <c r="Q64" s="557">
        <f t="shared" si="4"/>
        <v>3.4629619277108419</v>
      </c>
      <c r="R64" s="559" t="e">
        <f t="shared" si="18"/>
        <v>#DIV/0!</v>
      </c>
      <c r="S64" s="554">
        <f t="shared" si="13"/>
        <v>51</v>
      </c>
      <c r="T64" s="560">
        <v>0</v>
      </c>
      <c r="U64" s="560">
        <v>0</v>
      </c>
      <c r="V64" s="560">
        <v>51</v>
      </c>
      <c r="W64" s="560">
        <v>293</v>
      </c>
      <c r="X64" s="560">
        <v>438</v>
      </c>
      <c r="Y64" s="560">
        <v>438</v>
      </c>
      <c r="Z64" s="560">
        <v>266</v>
      </c>
      <c r="AA64" s="560">
        <v>32</v>
      </c>
      <c r="AB64" s="554">
        <v>53</v>
      </c>
      <c r="AC64" s="558">
        <v>40</v>
      </c>
      <c r="AD64" s="560">
        <v>14</v>
      </c>
      <c r="AE64" s="560">
        <v>0</v>
      </c>
      <c r="AF64" s="565">
        <v>2.6</v>
      </c>
      <c r="AG64" s="565" t="e">
        <f t="shared" si="14"/>
        <v>#DIV/0!</v>
      </c>
      <c r="AH64" s="554">
        <v>94</v>
      </c>
      <c r="AI64" s="797">
        <v>15</v>
      </c>
      <c r="AJ64" s="565">
        <v>2.5</v>
      </c>
      <c r="AK64" s="565">
        <v>3.6</v>
      </c>
      <c r="AL64" s="565">
        <v>0.4</v>
      </c>
      <c r="AM64" s="565">
        <v>30</v>
      </c>
      <c r="AN64" s="798">
        <v>0.11</v>
      </c>
      <c r="AO64" s="799">
        <v>424</v>
      </c>
      <c r="AP64" s="549">
        <v>2.6</v>
      </c>
      <c r="AR64" s="870" t="e">
        <f t="shared" si="5"/>
        <v>#DIV/0!</v>
      </c>
      <c r="AS64" s="541">
        <f t="shared" si="6"/>
        <v>104.98949999999999</v>
      </c>
      <c r="AT64" s="542" t="e">
        <f t="shared" si="7"/>
        <v>#DIV/0!</v>
      </c>
      <c r="AU64" s="543" t="e">
        <f>(1.7286+0.8857*B6)/100</f>
        <v>#DIV/0!</v>
      </c>
      <c r="AV64" s="536">
        <f t="shared" si="15"/>
        <v>69.608038499999992</v>
      </c>
      <c r="AW64" s="536">
        <f t="shared" si="8"/>
        <v>126.63301204819275</v>
      </c>
      <c r="AX64" s="544">
        <f t="shared" si="9"/>
        <v>18.204968674698812</v>
      </c>
      <c r="XAO64" s="725"/>
      <c r="XAP64" s="725"/>
      <c r="XAQ64" s="725"/>
      <c r="XAR64" s="725"/>
      <c r="XAS64" s="725"/>
      <c r="XAT64" s="725"/>
      <c r="XAU64" s="725"/>
    </row>
    <row r="65" spans="1:50 16265:16271" s="536" customFormat="1" ht="17.25" customHeight="1" x14ac:dyDescent="0.25">
      <c r="A65" s="794" t="s">
        <v>123</v>
      </c>
      <c r="B65" s="795" t="s">
        <v>183</v>
      </c>
      <c r="C65" s="796">
        <v>430</v>
      </c>
      <c r="D65" s="564">
        <f>(F65*((O65-3.3)/100))-G65-H65</f>
        <v>9.6377245540398739</v>
      </c>
      <c r="E65" s="565" t="e">
        <f>(F65/(1-(J65/1000))*((P65-3.3)/100)-G65-I65)*(1-(J65/1000))</f>
        <v>#DIV/0!</v>
      </c>
      <c r="F65" s="559">
        <v>18.5</v>
      </c>
      <c r="G65" s="562">
        <f>K65*0.0037/(1-(J65/1000))</f>
        <v>0.33777544596012593</v>
      </c>
      <c r="H65" s="563">
        <f t="shared" si="11"/>
        <v>1.6240000000000001</v>
      </c>
      <c r="I65" s="563" t="e">
        <f t="shared" si="12"/>
        <v>#DIV/0!</v>
      </c>
      <c r="J65" s="554">
        <v>47</v>
      </c>
      <c r="K65" s="560">
        <v>87</v>
      </c>
      <c r="L65" s="560">
        <f>AV65+AX65</f>
        <v>82.201466044231012</v>
      </c>
      <c r="M65" s="560" t="e">
        <f t="shared" si="16"/>
        <v>#DIV/0!</v>
      </c>
      <c r="N65" s="560">
        <v>62</v>
      </c>
      <c r="O65" s="554">
        <v>66</v>
      </c>
      <c r="P65" s="560" t="e">
        <f>O65-(1.5+0.05*(O65-65))*(B$6-1)</f>
        <v>#DIV/0!</v>
      </c>
      <c r="Q65" s="557">
        <f>(AW65-AS65)/6.25</f>
        <v>-4.7079973113224263</v>
      </c>
      <c r="R65" s="559" t="e">
        <f>(AT65-AR65)/6.25</f>
        <v>#DIV/0!</v>
      </c>
      <c r="S65" s="554">
        <f>U65+V65-T65</f>
        <v>185</v>
      </c>
      <c r="T65" s="560">
        <v>11</v>
      </c>
      <c r="U65" s="560">
        <v>114</v>
      </c>
      <c r="V65" s="560">
        <v>82</v>
      </c>
      <c r="W65" s="560">
        <v>366</v>
      </c>
      <c r="X65" s="560">
        <v>476</v>
      </c>
      <c r="Y65" s="560">
        <v>476</v>
      </c>
      <c r="Z65" s="560">
        <v>317</v>
      </c>
      <c r="AA65" s="560">
        <v>23</v>
      </c>
      <c r="AB65" s="554">
        <v>54</v>
      </c>
      <c r="AC65" s="558">
        <v>39</v>
      </c>
      <c r="AD65" s="560">
        <v>3</v>
      </c>
      <c r="AE65" s="560">
        <v>0.5</v>
      </c>
      <c r="AF65" s="565">
        <v>2.6</v>
      </c>
      <c r="AG65" s="565" t="e">
        <f t="shared" si="14"/>
        <v>#DIV/0!</v>
      </c>
      <c r="AH65" s="554">
        <v>89</v>
      </c>
      <c r="AI65" s="797">
        <v>2.7</v>
      </c>
      <c r="AJ65" s="565">
        <v>2.2000000000000002</v>
      </c>
      <c r="AK65" s="565">
        <v>1</v>
      </c>
      <c r="AL65" s="565">
        <v>0.3</v>
      </c>
      <c r="AM65" s="565">
        <v>16.8</v>
      </c>
      <c r="AN65" s="798">
        <v>0.02</v>
      </c>
      <c r="AO65" s="799">
        <v>228</v>
      </c>
      <c r="AP65" s="549">
        <v>2.6</v>
      </c>
      <c r="AR65" s="870" t="e">
        <f t="shared" si="5"/>
        <v>#DIV/0!</v>
      </c>
      <c r="AS65" s="541">
        <f t="shared" si="6"/>
        <v>94.346999999999994</v>
      </c>
      <c r="AT65" s="542" t="e">
        <f t="shared" si="7"/>
        <v>#DIV/0!</v>
      </c>
      <c r="AU65" s="543" t="e">
        <f>(1.7286+0.8857*B6)/100</f>
        <v>#DIV/0!</v>
      </c>
      <c r="AV65" s="536">
        <f>AS65*78/100*85/100</f>
        <v>62.552061000000002</v>
      </c>
      <c r="AW65" s="536">
        <f t="shared" si="8"/>
        <v>64.922016804234829</v>
      </c>
      <c r="AX65" s="544">
        <f t="shared" si="9"/>
        <v>19.649405044231003</v>
      </c>
      <c r="XAO65" s="725"/>
      <c r="XAP65" s="725"/>
      <c r="XAQ65" s="725"/>
      <c r="XAR65" s="725"/>
      <c r="XAS65" s="725"/>
      <c r="XAT65" s="725"/>
      <c r="XAU65" s="725"/>
    </row>
    <row r="66" spans="1:50 16265:16271" ht="17.25" customHeight="1" x14ac:dyDescent="0.25">
      <c r="A66" s="834" t="s">
        <v>271</v>
      </c>
      <c r="B66" s="526" t="s">
        <v>291</v>
      </c>
      <c r="C66" s="527">
        <v>250</v>
      </c>
      <c r="D66" s="564">
        <f t="shared" ref="D66:D67" si="20">(F66*((O66-3.3)/100))-G66-H66</f>
        <v>11.126860896767464</v>
      </c>
      <c r="E66" s="565" t="e">
        <f t="shared" ref="E66:E67" si="21">(F66/(1-(J66/1000))*((P66-3.3)/100)-G66-I66)*(1-(J66/1000))</f>
        <v>#DIV/0!</v>
      </c>
      <c r="F66" s="528">
        <v>21.2</v>
      </c>
      <c r="G66" s="562">
        <f t="shared" ref="G66:G67" si="22">K66*0.0037/(1-(J66/1000))</f>
        <v>0.93753910323253398</v>
      </c>
      <c r="H66" s="563">
        <f t="shared" si="11"/>
        <v>1.6520000000000001</v>
      </c>
      <c r="I66" s="563" t="e">
        <f t="shared" si="12"/>
        <v>#DIV/0!</v>
      </c>
      <c r="J66" s="529">
        <v>41</v>
      </c>
      <c r="K66" s="530" t="s">
        <v>292</v>
      </c>
      <c r="L66" s="560">
        <f>AV66+AX66</f>
        <v>155.57739258316519</v>
      </c>
      <c r="M66" s="560" t="e">
        <f t="shared" si="16"/>
        <v>#DIV/0!</v>
      </c>
      <c r="N66" s="818"/>
      <c r="O66" s="572">
        <v>68</v>
      </c>
      <c r="P66" s="560" t="e">
        <f t="shared" ref="P66:P67" si="23">O66-(1.5+0.05*(O66-65))*(B$6-1)</f>
        <v>#DIV/0!</v>
      </c>
      <c r="Q66" s="557">
        <f t="shared" ref="Q66:Q67" si="24">(AW66-AS66)/6.25</f>
        <v>5.7401448514380329</v>
      </c>
      <c r="R66" s="559" t="e">
        <f t="shared" ref="R66:R67" si="25">(AT66-AR66)/6.25</f>
        <v>#DIV/0!</v>
      </c>
      <c r="S66" s="556">
        <f t="shared" ref="S66:S67" si="26">U66+V66-T66</f>
        <v>31</v>
      </c>
      <c r="T66" s="531">
        <v>2</v>
      </c>
      <c r="U66" s="531">
        <v>22</v>
      </c>
      <c r="V66" s="531">
        <v>11</v>
      </c>
      <c r="W66" s="531">
        <v>-24</v>
      </c>
      <c r="X66" s="531">
        <v>643</v>
      </c>
      <c r="Y66" s="531">
        <v>0</v>
      </c>
      <c r="Z66" s="531">
        <v>239</v>
      </c>
      <c r="AA66" s="531">
        <v>97</v>
      </c>
      <c r="AB66" s="529">
        <v>27</v>
      </c>
      <c r="AC66" s="532">
        <v>46</v>
      </c>
      <c r="AD66" s="532">
        <v>6</v>
      </c>
      <c r="AE66" s="531">
        <v>3.5</v>
      </c>
      <c r="AF66" s="531">
        <v>2.9</v>
      </c>
      <c r="AG66" s="559" t="e">
        <f>(1.9607+0.9643*B$6)</f>
        <v>#DIV/0!</v>
      </c>
      <c r="AH66" s="529">
        <v>83</v>
      </c>
      <c r="AI66" s="529">
        <v>3.6</v>
      </c>
      <c r="AJ66" s="531">
        <v>6</v>
      </c>
      <c r="AK66" s="531">
        <v>2</v>
      </c>
      <c r="AL66" s="531">
        <v>0.4</v>
      </c>
      <c r="AM66" s="531">
        <v>0.8</v>
      </c>
      <c r="AN66" s="533">
        <v>0.1</v>
      </c>
      <c r="AO66" s="534">
        <v>-194</v>
      </c>
      <c r="AP66" s="549">
        <v>2.9</v>
      </c>
      <c r="AR66" s="870" t="e">
        <f t="shared" si="5"/>
        <v>#DIV/0!</v>
      </c>
      <c r="AS66" s="541">
        <f t="shared" si="6"/>
        <v>97.817999999999998</v>
      </c>
      <c r="AT66" s="542" t="e">
        <f t="shared" si="7"/>
        <v>#DIV/0!</v>
      </c>
      <c r="AU66" s="547" t="e">
        <f>(1.9607+0.9643*$B$6)/100</f>
        <v>#DIV/0!</v>
      </c>
      <c r="AV66" s="536">
        <f t="shared" ref="AV66:AV67" si="27">AS66*78/100*85/100</f>
        <v>64.853334000000004</v>
      </c>
      <c r="AW66" s="536">
        <f t="shared" si="8"/>
        <v>133.6939053214877</v>
      </c>
      <c r="AX66" s="544">
        <f t="shared" si="9"/>
        <v>90.724058583165203</v>
      </c>
    </row>
    <row r="67" spans="1:50 16265:16271" ht="17.25" customHeight="1" x14ac:dyDescent="0.25">
      <c r="A67" s="834" t="s">
        <v>271</v>
      </c>
      <c r="B67" s="526" t="s">
        <v>293</v>
      </c>
      <c r="C67" s="527">
        <v>250</v>
      </c>
      <c r="D67" s="564">
        <f t="shared" si="20"/>
        <v>13.157232690246518</v>
      </c>
      <c r="E67" s="565" t="e">
        <f t="shared" si="21"/>
        <v>#DIV/0!</v>
      </c>
      <c r="F67" s="528">
        <v>18.100000000000001</v>
      </c>
      <c r="G67" s="562">
        <f t="shared" si="22"/>
        <v>0.40846730975348333</v>
      </c>
      <c r="H67" s="563">
        <f t="shared" si="11"/>
        <v>1.946</v>
      </c>
      <c r="I67" s="563" t="e">
        <f t="shared" si="12"/>
        <v>#DIV/0!</v>
      </c>
      <c r="J67" s="529">
        <v>67</v>
      </c>
      <c r="K67" s="530" t="s">
        <v>294</v>
      </c>
      <c r="L67" s="560">
        <f>AV67+AX67</f>
        <v>93.414277003144662</v>
      </c>
      <c r="M67" s="560" t="e">
        <f t="shared" si="16"/>
        <v>#DIV/0!</v>
      </c>
      <c r="N67" s="818"/>
      <c r="O67" s="572">
        <v>89</v>
      </c>
      <c r="P67" s="560" t="e">
        <f t="shared" si="23"/>
        <v>#DIV/0!</v>
      </c>
      <c r="Q67" s="557">
        <f t="shared" si="24"/>
        <v>-5.82345106918239</v>
      </c>
      <c r="R67" s="559" t="e">
        <f t="shared" si="25"/>
        <v>#DIV/0!</v>
      </c>
      <c r="S67" s="556">
        <f t="shared" si="26"/>
        <v>50</v>
      </c>
      <c r="T67" s="531">
        <v>0</v>
      </c>
      <c r="U67" s="531">
        <v>0</v>
      </c>
      <c r="V67" s="531">
        <v>50</v>
      </c>
      <c r="W67" s="531">
        <v>397</v>
      </c>
      <c r="X67" s="531">
        <v>425</v>
      </c>
      <c r="Y67" s="531">
        <v>0</v>
      </c>
      <c r="Z67" s="531">
        <v>237</v>
      </c>
      <c r="AA67" s="531">
        <v>103</v>
      </c>
      <c r="AB67" s="529">
        <v>21</v>
      </c>
      <c r="AC67" s="532">
        <v>79</v>
      </c>
      <c r="AD67" s="532">
        <v>13</v>
      </c>
      <c r="AE67" s="531">
        <v>0</v>
      </c>
      <c r="AF67" s="531">
        <v>2.9</v>
      </c>
      <c r="AG67" s="559" t="e">
        <f>(1.9607+0.9643*B$6)</f>
        <v>#DIV/0!</v>
      </c>
      <c r="AH67" s="529">
        <v>73</v>
      </c>
      <c r="AI67" s="529">
        <v>4</v>
      </c>
      <c r="AJ67" s="531">
        <v>1</v>
      </c>
      <c r="AK67" s="531">
        <v>2</v>
      </c>
      <c r="AL67" s="531">
        <v>0.4</v>
      </c>
      <c r="AM67" s="531">
        <v>5</v>
      </c>
      <c r="AN67" s="533">
        <v>0.2</v>
      </c>
      <c r="AO67" s="534">
        <v>-104</v>
      </c>
      <c r="AP67" s="549">
        <v>2.9</v>
      </c>
      <c r="AR67" s="870" t="e">
        <f t="shared" si="5"/>
        <v>#DIV/0!</v>
      </c>
      <c r="AS67" s="541">
        <f t="shared" si="6"/>
        <v>124.55549999999999</v>
      </c>
      <c r="AT67" s="542" t="e">
        <f t="shared" si="7"/>
        <v>#DIV/0!</v>
      </c>
      <c r="AU67" s="547" t="e">
        <f t="shared" ref="AU67" si="28">(1.9607+0.9643*$B$6)/100</f>
        <v>#DIV/0!</v>
      </c>
      <c r="AV67" s="536">
        <f t="shared" si="27"/>
        <v>82.580296500000003</v>
      </c>
      <c r="AW67" s="536">
        <f t="shared" si="8"/>
        <v>88.158930817610056</v>
      </c>
      <c r="AX67" s="544">
        <f t="shared" si="9"/>
        <v>10.833980503144661</v>
      </c>
    </row>
    <row r="68" spans="1:50 16265:16271" s="806" customFormat="1" ht="17.25" customHeight="1" x14ac:dyDescent="0.25">
      <c r="A68" s="800" t="s">
        <v>40</v>
      </c>
      <c r="B68" s="801"/>
      <c r="C68" s="561"/>
      <c r="D68" s="803"/>
      <c r="E68" s="561"/>
      <c r="F68" s="802"/>
      <c r="G68" s="803"/>
      <c r="H68" s="561"/>
      <c r="I68" s="561"/>
      <c r="J68" s="555"/>
      <c r="K68" s="561"/>
      <c r="L68" s="561"/>
      <c r="M68" s="561"/>
      <c r="N68" s="561"/>
      <c r="O68" s="555"/>
      <c r="P68" s="561"/>
      <c r="Q68" s="555"/>
      <c r="R68" s="561"/>
      <c r="S68" s="555"/>
      <c r="T68" s="561"/>
      <c r="U68" s="561"/>
      <c r="V68" s="561"/>
      <c r="W68" s="561"/>
      <c r="X68" s="561"/>
      <c r="Y68" s="561"/>
      <c r="Z68" s="561"/>
      <c r="AA68" s="561"/>
      <c r="AB68" s="555"/>
      <c r="AC68" s="561"/>
      <c r="AD68" s="561"/>
      <c r="AE68" s="802"/>
      <c r="AF68" s="802"/>
      <c r="AG68" s="802"/>
      <c r="AH68" s="555"/>
      <c r="AI68" s="803"/>
      <c r="AJ68" s="802"/>
      <c r="AK68" s="802"/>
      <c r="AL68" s="802"/>
      <c r="AM68" s="802"/>
      <c r="AN68" s="804"/>
      <c r="AO68" s="805"/>
      <c r="AP68" s="549">
        <v>2.6</v>
      </c>
      <c r="AR68" s="870" t="e">
        <f t="shared" si="5"/>
        <v>#DIV/0!</v>
      </c>
      <c r="AS68" s="541">
        <f t="shared" si="6"/>
        <v>0</v>
      </c>
      <c r="AT68" s="542" t="e">
        <f t="shared" si="7"/>
        <v>#DIV/0!</v>
      </c>
      <c r="AU68" s="545"/>
      <c r="AV68" s="536">
        <f t="shared" si="15"/>
        <v>0</v>
      </c>
      <c r="AW68" s="536">
        <f t="shared" si="8"/>
        <v>0</v>
      </c>
      <c r="AX68" s="544">
        <f t="shared" si="9"/>
        <v>0</v>
      </c>
      <c r="XAO68" s="807"/>
      <c r="XAP68" s="807"/>
      <c r="XAQ68" s="807"/>
      <c r="XAR68" s="807"/>
      <c r="XAS68" s="807"/>
      <c r="XAT68" s="807"/>
      <c r="XAU68" s="807"/>
    </row>
    <row r="69" spans="1:50 16265:16271" s="536" customFormat="1" ht="17.25" customHeight="1" x14ac:dyDescent="0.25">
      <c r="A69" s="794" t="s">
        <v>123</v>
      </c>
      <c r="B69" s="795" t="s">
        <v>184</v>
      </c>
      <c r="C69" s="796">
        <v>860</v>
      </c>
      <c r="D69" s="564">
        <f t="shared" si="10"/>
        <v>11.111677537796975</v>
      </c>
      <c r="E69" s="565" t="e">
        <f t="shared" si="0"/>
        <v>#DIV/0!</v>
      </c>
      <c r="F69" s="559">
        <v>18.7</v>
      </c>
      <c r="G69" s="562">
        <f t="shared" si="19"/>
        <v>0.71922246220302377</v>
      </c>
      <c r="H69" s="563">
        <f t="shared" si="11"/>
        <v>1.764</v>
      </c>
      <c r="I69" s="563" t="e">
        <f t="shared" si="12"/>
        <v>#DIV/0!</v>
      </c>
      <c r="J69" s="554">
        <v>74</v>
      </c>
      <c r="K69" s="560">
        <v>180</v>
      </c>
      <c r="L69" s="560">
        <f>AV69+AX69</f>
        <v>98.446074857142847</v>
      </c>
      <c r="M69" s="560" t="e">
        <f xml:space="preserve">
AR69*0.663
+
(
(
K69
*
(1-(AB69+((AC69*(AD69/100))/((AD69/100)+(AG69/100)))*EXP(-(AG69/100)*AE69))/100))*(AH69/100))</f>
        <v>#DIV/0!</v>
      </c>
      <c r="N69" s="560">
        <v>70</v>
      </c>
      <c r="O69" s="554">
        <v>76</v>
      </c>
      <c r="P69" s="560" t="e">
        <f t="shared" ref="P69:P72" si="29">O69-(1.5+0.05*(O69-65))*(B$6-1)</f>
        <v>#DIV/0!</v>
      </c>
      <c r="Q69" s="557">
        <f t="shared" si="4"/>
        <v>6.2183314285714326</v>
      </c>
      <c r="R69" s="559" t="e">
        <f t="shared" ref="R69:R72" si="30">(AT69-AR69)/6.25</f>
        <v>#DIV/0!</v>
      </c>
      <c r="S69" s="554">
        <f t="shared" si="13"/>
        <v>116</v>
      </c>
      <c r="T69" s="560">
        <v>0</v>
      </c>
      <c r="U69" s="560">
        <v>0</v>
      </c>
      <c r="V69" s="560">
        <v>116</v>
      </c>
      <c r="W69" s="560">
        <v>193</v>
      </c>
      <c r="X69" s="560">
        <v>512</v>
      </c>
      <c r="Y69" s="560">
        <v>512</v>
      </c>
      <c r="Z69" s="560">
        <v>279</v>
      </c>
      <c r="AA69" s="560">
        <v>32</v>
      </c>
      <c r="AB69" s="554">
        <v>35</v>
      </c>
      <c r="AC69" s="558">
        <v>57</v>
      </c>
      <c r="AD69" s="560">
        <v>10</v>
      </c>
      <c r="AE69" s="560">
        <v>0</v>
      </c>
      <c r="AF69" s="565">
        <v>2.6</v>
      </c>
      <c r="AG69" s="565" t="e">
        <f t="shared" si="14"/>
        <v>#DIV/0!</v>
      </c>
      <c r="AH69" s="554">
        <v>80</v>
      </c>
      <c r="AI69" s="797">
        <v>4.3</v>
      </c>
      <c r="AJ69" s="565">
        <v>3.1</v>
      </c>
      <c r="AK69" s="565">
        <v>1.7</v>
      </c>
      <c r="AL69" s="565">
        <v>0.8</v>
      </c>
      <c r="AM69" s="565">
        <v>18.5</v>
      </c>
      <c r="AN69" s="798">
        <v>0.08</v>
      </c>
      <c r="AO69" s="799">
        <v>245</v>
      </c>
      <c r="AP69" s="549">
        <v>2.6</v>
      </c>
      <c r="AR69" s="870" t="e">
        <f t="shared" si="5"/>
        <v>#DIV/0!</v>
      </c>
      <c r="AS69" s="541">
        <f t="shared" si="6"/>
        <v>105.56399999999999</v>
      </c>
      <c r="AT69" s="542" t="e">
        <f t="shared" si="7"/>
        <v>#DIV/0!</v>
      </c>
      <c r="AU69" s="543" t="e">
        <f>(1.7286+0.8857*B6)/100</f>
        <v>#DIV/0!</v>
      </c>
      <c r="AV69" s="536">
        <f t="shared" si="15"/>
        <v>69.988932000000005</v>
      </c>
      <c r="AW69" s="536">
        <f t="shared" si="8"/>
        <v>144.42857142857144</v>
      </c>
      <c r="AX69" s="544">
        <f t="shared" si="9"/>
        <v>28.457142857142845</v>
      </c>
      <c r="XAO69" s="725"/>
      <c r="XAP69" s="725"/>
      <c r="XAQ69" s="725"/>
      <c r="XAR69" s="725"/>
      <c r="XAS69" s="725"/>
      <c r="XAT69" s="725"/>
      <c r="XAU69" s="725"/>
    </row>
    <row r="70" spans="1:50 16265:16271" s="536" customFormat="1" ht="17.25" customHeight="1" x14ac:dyDescent="0.25">
      <c r="A70" s="794" t="s">
        <v>123</v>
      </c>
      <c r="B70" s="795" t="s">
        <v>185</v>
      </c>
      <c r="C70" s="796">
        <v>860</v>
      </c>
      <c r="D70" s="564">
        <f t="shared" si="10"/>
        <v>9.226705579399141</v>
      </c>
      <c r="E70" s="565" t="e">
        <f t="shared" si="0"/>
        <v>#DIV/0!</v>
      </c>
      <c r="F70" s="559">
        <v>18.399999999999999</v>
      </c>
      <c r="G70" s="562">
        <f t="shared" si="19"/>
        <v>0.51609442060085842</v>
      </c>
      <c r="H70" s="563">
        <f t="shared" si="11"/>
        <v>1.6099999999999999</v>
      </c>
      <c r="I70" s="563" t="e">
        <f t="shared" si="12"/>
        <v>#DIV/0!</v>
      </c>
      <c r="J70" s="554">
        <v>68</v>
      </c>
      <c r="K70" s="560">
        <v>130</v>
      </c>
      <c r="L70" s="560">
        <f>AV70+AX70</f>
        <v>80.799190952380954</v>
      </c>
      <c r="M70" s="560" t="e">
        <f xml:space="preserve">
AR70*0.663
+
(
(
K70
*
(1-(AB70+((AC70*(AD70/100))/((AD70/100)+(AG70/100)))*EXP(-(AG70/100)*AE70))/100))*(AH70/100))</f>
        <v>#DIV/0!</v>
      </c>
      <c r="N70" s="560">
        <v>60</v>
      </c>
      <c r="O70" s="554">
        <v>65</v>
      </c>
      <c r="P70" s="560" t="e">
        <f t="shared" si="29"/>
        <v>#DIV/0!</v>
      </c>
      <c r="Q70" s="557">
        <f t="shared" si="4"/>
        <v>2.1503238095238091</v>
      </c>
      <c r="R70" s="559">
        <v>2.6</v>
      </c>
      <c r="S70" s="554">
        <f t="shared" si="13"/>
        <v>89</v>
      </c>
      <c r="T70" s="560">
        <v>0</v>
      </c>
      <c r="U70" s="560">
        <v>0</v>
      </c>
      <c r="V70" s="560">
        <v>89</v>
      </c>
      <c r="W70" s="560">
        <v>170</v>
      </c>
      <c r="X70" s="560">
        <v>605</v>
      </c>
      <c r="Y70" s="560">
        <v>605</v>
      </c>
      <c r="Z70" s="560">
        <v>336</v>
      </c>
      <c r="AA70" s="560">
        <v>19</v>
      </c>
      <c r="AB70" s="554">
        <v>35</v>
      </c>
      <c r="AC70" s="558">
        <v>57</v>
      </c>
      <c r="AD70" s="560">
        <v>10</v>
      </c>
      <c r="AE70" s="560">
        <v>0</v>
      </c>
      <c r="AF70" s="565">
        <v>2.6</v>
      </c>
      <c r="AG70" s="565" t="e">
        <f t="shared" si="14"/>
        <v>#DIV/0!</v>
      </c>
      <c r="AH70" s="554">
        <v>80</v>
      </c>
      <c r="AI70" s="797">
        <v>4.0999999999999996</v>
      </c>
      <c r="AJ70" s="565">
        <v>2.1</v>
      </c>
      <c r="AK70" s="565">
        <v>1.2</v>
      </c>
      <c r="AL70" s="565">
        <v>0.3</v>
      </c>
      <c r="AM70" s="565">
        <v>14.5</v>
      </c>
      <c r="AN70" s="798">
        <v>0.05</v>
      </c>
      <c r="AO70" s="799">
        <v>157</v>
      </c>
      <c r="AP70" s="549">
        <v>2.6</v>
      </c>
      <c r="AR70" s="870" t="e">
        <f t="shared" si="5"/>
        <v>#DIV/0!</v>
      </c>
      <c r="AS70" s="541">
        <f t="shared" si="6"/>
        <v>90.87</v>
      </c>
      <c r="AT70" s="542" t="e">
        <f t="shared" si="7"/>
        <v>#DIV/0!</v>
      </c>
      <c r="AU70" s="543" t="e">
        <f>(1.7286+0.8857*B6)/100</f>
        <v>#DIV/0!</v>
      </c>
      <c r="AV70" s="536">
        <f t="shared" si="15"/>
        <v>60.246810000000004</v>
      </c>
      <c r="AW70" s="536">
        <f t="shared" si="8"/>
        <v>104.30952380952381</v>
      </c>
      <c r="AX70" s="544">
        <f t="shared" si="9"/>
        <v>20.552380952380954</v>
      </c>
      <c r="XAO70" s="725"/>
      <c r="XAP70" s="725"/>
      <c r="XAQ70" s="725"/>
      <c r="XAR70" s="725"/>
      <c r="XAS70" s="725"/>
      <c r="XAT70" s="725"/>
      <c r="XAU70" s="725"/>
    </row>
    <row r="71" spans="1:50 16265:16271" s="536" customFormat="1" ht="17.25" customHeight="1" x14ac:dyDescent="0.25">
      <c r="A71" s="794" t="s">
        <v>123</v>
      </c>
      <c r="B71" s="795" t="s">
        <v>186</v>
      </c>
      <c r="C71" s="796">
        <v>860</v>
      </c>
      <c r="D71" s="564">
        <f t="shared" si="10"/>
        <v>8.2273783725910086</v>
      </c>
      <c r="E71" s="565" t="e">
        <f t="shared" si="0"/>
        <v>#DIV/0!</v>
      </c>
      <c r="F71" s="559">
        <v>18.3</v>
      </c>
      <c r="G71" s="562">
        <f t="shared" si="19"/>
        <v>0.43972162740899362</v>
      </c>
      <c r="H71" s="563">
        <f t="shared" si="11"/>
        <v>1.526</v>
      </c>
      <c r="I71" s="563" t="e">
        <f t="shared" si="12"/>
        <v>#DIV/0!</v>
      </c>
      <c r="J71" s="554">
        <v>66</v>
      </c>
      <c r="K71" s="560">
        <v>111</v>
      </c>
      <c r="L71" s="560">
        <f>AV71+AX71</f>
        <v>72.351488428571429</v>
      </c>
      <c r="M71" s="560" t="e">
        <f xml:space="preserve">
AR71*0.663
+
(
(
K71
*
(1-(AB71+((AC71*(AD71/100))/((AD71/100)+(AG71/100)))*EXP(-(AG71/100)*AE71))/100))*(AH71/100))</f>
        <v>#DIV/0!</v>
      </c>
      <c r="N71" s="560">
        <v>55</v>
      </c>
      <c r="O71" s="554">
        <v>59</v>
      </c>
      <c r="P71" s="560" t="e">
        <f t="shared" si="29"/>
        <v>#DIV/0!</v>
      </c>
      <c r="Q71" s="557">
        <f t="shared" si="4"/>
        <v>1.0248457142857159</v>
      </c>
      <c r="R71" s="559" t="e">
        <f t="shared" si="30"/>
        <v>#DIV/0!</v>
      </c>
      <c r="S71" s="554">
        <f t="shared" si="13"/>
        <v>73</v>
      </c>
      <c r="T71" s="560">
        <v>0</v>
      </c>
      <c r="U71" s="560">
        <v>0</v>
      </c>
      <c r="V71" s="560">
        <v>73</v>
      </c>
      <c r="W71" s="560">
        <v>161</v>
      </c>
      <c r="X71" s="560">
        <v>645</v>
      </c>
      <c r="Y71" s="560">
        <v>645</v>
      </c>
      <c r="Z71" s="560">
        <v>375</v>
      </c>
      <c r="AA71" s="560">
        <v>17</v>
      </c>
      <c r="AB71" s="554">
        <v>35</v>
      </c>
      <c r="AC71" s="558">
        <v>57</v>
      </c>
      <c r="AD71" s="560">
        <v>10</v>
      </c>
      <c r="AE71" s="560">
        <v>0</v>
      </c>
      <c r="AF71" s="565">
        <v>2.6</v>
      </c>
      <c r="AG71" s="565" t="e">
        <f t="shared" si="14"/>
        <v>#DIV/0!</v>
      </c>
      <c r="AH71" s="554">
        <v>80</v>
      </c>
      <c r="AI71" s="797">
        <v>5.3</v>
      </c>
      <c r="AJ71" s="565">
        <v>2.1</v>
      </c>
      <c r="AK71" s="565">
        <v>2</v>
      </c>
      <c r="AL71" s="565">
        <v>0.4</v>
      </c>
      <c r="AM71" s="565">
        <v>18.3</v>
      </c>
      <c r="AN71" s="798">
        <v>0.05</v>
      </c>
      <c r="AO71" s="799">
        <v>92</v>
      </c>
      <c r="AP71" s="549">
        <v>2.6</v>
      </c>
      <c r="AR71" s="870" t="e">
        <f t="shared" si="5"/>
        <v>#DIV/0!</v>
      </c>
      <c r="AS71" s="541">
        <f t="shared" si="6"/>
        <v>82.658999999999992</v>
      </c>
      <c r="AT71" s="542" t="e">
        <f t="shared" si="7"/>
        <v>#DIV/0!</v>
      </c>
      <c r="AU71" s="543" t="e">
        <f>(1.7286+0.8857*B6)/100</f>
        <v>#DIV/0!</v>
      </c>
      <c r="AV71" s="536">
        <f t="shared" si="15"/>
        <v>54.802917000000001</v>
      </c>
      <c r="AW71" s="536">
        <f t="shared" si="8"/>
        <v>89.064285714285717</v>
      </c>
      <c r="AX71" s="544">
        <f t="shared" si="9"/>
        <v>17.548571428571428</v>
      </c>
      <c r="XAO71" s="725"/>
      <c r="XAP71" s="725"/>
      <c r="XAQ71" s="725"/>
      <c r="XAR71" s="725"/>
      <c r="XAS71" s="725"/>
      <c r="XAT71" s="725"/>
      <c r="XAU71" s="725"/>
    </row>
    <row r="72" spans="1:50 16265:16271" s="536" customFormat="1" ht="17.25" customHeight="1" x14ac:dyDescent="0.25">
      <c r="A72" s="794" t="s">
        <v>123</v>
      </c>
      <c r="B72" s="795" t="s">
        <v>187</v>
      </c>
      <c r="C72" s="554">
        <v>860</v>
      </c>
      <c r="D72" s="564">
        <f t="shared" si="10"/>
        <v>7.012312195121952</v>
      </c>
      <c r="E72" s="565" t="e">
        <f t="shared" si="0"/>
        <v>#DIV/0!</v>
      </c>
      <c r="F72" s="559">
        <v>18.399999999999999</v>
      </c>
      <c r="G72" s="562">
        <f t="shared" si="19"/>
        <v>0.1804878048780488</v>
      </c>
      <c r="H72" s="563">
        <f>MAX(0.7+0.014*O72,1.1)</f>
        <v>1.4</v>
      </c>
      <c r="I72" s="563" t="e">
        <f t="shared" si="12"/>
        <v>#DIV/0!</v>
      </c>
      <c r="J72" s="554">
        <v>57</v>
      </c>
      <c r="K72" s="560">
        <v>46</v>
      </c>
      <c r="L72" s="560">
        <f>AV72+AX72</f>
        <v>54.163055952380944</v>
      </c>
      <c r="M72" s="560" t="e">
        <f xml:space="preserve">
AR72*0.663
+
(
(
K72
*
(1-(AB72+((AC72*(AD72/100))/((AD72/100)+(AG72/100)))*EXP(-(AG72/100)*AE72))/100))*(AH72/100))</f>
        <v>#DIV/0!</v>
      </c>
      <c r="N72" s="560">
        <v>47</v>
      </c>
      <c r="O72" s="554">
        <v>50</v>
      </c>
      <c r="P72" s="560" t="e">
        <f t="shared" si="29"/>
        <v>#DIV/0!</v>
      </c>
      <c r="Q72" s="557">
        <f t="shared" si="4"/>
        <v>-5.4104761904761896</v>
      </c>
      <c r="R72" s="559" t="e">
        <f t="shared" si="30"/>
        <v>#DIV/0!</v>
      </c>
      <c r="S72" s="554">
        <f t="shared" si="13"/>
        <v>15</v>
      </c>
      <c r="T72" s="560">
        <v>2</v>
      </c>
      <c r="U72" s="560">
        <v>14</v>
      </c>
      <c r="V72" s="560">
        <v>3</v>
      </c>
      <c r="W72" s="560">
        <v>78</v>
      </c>
      <c r="X72" s="560">
        <v>800</v>
      </c>
      <c r="Y72" s="560">
        <v>800</v>
      </c>
      <c r="Z72" s="560">
        <v>464</v>
      </c>
      <c r="AA72" s="560">
        <v>19</v>
      </c>
      <c r="AB72" s="554">
        <v>35</v>
      </c>
      <c r="AC72" s="558">
        <v>57</v>
      </c>
      <c r="AD72" s="560">
        <v>10</v>
      </c>
      <c r="AE72" s="560">
        <v>0</v>
      </c>
      <c r="AF72" s="565">
        <v>2.6</v>
      </c>
      <c r="AG72" s="565" t="e">
        <f t="shared" si="14"/>
        <v>#DIV/0!</v>
      </c>
      <c r="AH72" s="554">
        <v>80</v>
      </c>
      <c r="AI72" s="797">
        <v>5</v>
      </c>
      <c r="AJ72" s="565">
        <v>0.8</v>
      </c>
      <c r="AK72" s="565">
        <v>0.9</v>
      </c>
      <c r="AL72" s="565">
        <v>2</v>
      </c>
      <c r="AM72" s="565">
        <v>17</v>
      </c>
      <c r="AN72" s="798">
        <v>0.02</v>
      </c>
      <c r="AO72" s="799">
        <v>172</v>
      </c>
      <c r="AP72" s="549">
        <v>2.6</v>
      </c>
      <c r="AR72" s="870" t="e">
        <f t="shared" si="5"/>
        <v>#DIV/0!</v>
      </c>
      <c r="AS72" s="541">
        <f t="shared" si="6"/>
        <v>70.724999999999994</v>
      </c>
      <c r="AT72" s="542" t="e">
        <f t="shared" si="7"/>
        <v>#DIV/0!</v>
      </c>
      <c r="AU72" s="543" t="e">
        <f>(1.7286+0.8857*B6)/100</f>
        <v>#DIV/0!</v>
      </c>
      <c r="AV72" s="536">
        <f t="shared" si="15"/>
        <v>46.890674999999995</v>
      </c>
      <c r="AW72" s="536">
        <f t="shared" si="8"/>
        <v>36.909523809523812</v>
      </c>
      <c r="AX72" s="544">
        <f t="shared" si="9"/>
        <v>7.2723809523809511</v>
      </c>
      <c r="XAO72" s="725"/>
      <c r="XAP72" s="725"/>
      <c r="XAQ72" s="725"/>
      <c r="XAR72" s="725"/>
      <c r="XAS72" s="725"/>
      <c r="XAT72" s="725"/>
      <c r="XAU72" s="725"/>
    </row>
    <row r="73" spans="1:50 16265:16271" s="536" customFormat="1" ht="17.25" hidden="1" customHeight="1" x14ac:dyDescent="0.25">
      <c r="A73" s="757"/>
      <c r="B73" s="777"/>
      <c r="C73" s="554"/>
      <c r="D73" s="564">
        <f t="shared" si="10"/>
        <v>-1.1000000000000001</v>
      </c>
      <c r="E73" s="565" t="e">
        <f t="shared" si="0"/>
        <v>#DIV/0!</v>
      </c>
      <c r="F73" s="559"/>
      <c r="G73" s="562">
        <f t="shared" si="19"/>
        <v>0</v>
      </c>
      <c r="H73" s="563">
        <f t="shared" si="11"/>
        <v>1.1000000000000001</v>
      </c>
      <c r="I73" s="563" t="e">
        <f t="shared" si="12"/>
        <v>#DIV/0!</v>
      </c>
      <c r="J73" s="554"/>
      <c r="K73" s="560"/>
      <c r="L73" s="560" t="e">
        <f>AV73+AX73</f>
        <v>#DIV/0!</v>
      </c>
      <c r="M73" s="560" t="e">
        <f xml:space="preserve">
AR73*0.663
+
(
(
K73
*
(1-(AB73+((AC73*(AD73/100))/((AD73/100)+(AG73/100)))*EXP(-(AG73/100)*AE73))/100))*(AH73/100))</f>
        <v>#DIV/0!</v>
      </c>
      <c r="N73" s="560"/>
      <c r="O73" s="554"/>
      <c r="P73" s="560"/>
      <c r="Q73" s="557" t="e">
        <f t="shared" si="4"/>
        <v>#DIV/0!</v>
      </c>
      <c r="R73" s="559"/>
      <c r="S73" s="554"/>
      <c r="T73" s="560"/>
      <c r="U73" s="560"/>
      <c r="V73" s="560"/>
      <c r="W73" s="560"/>
      <c r="X73" s="560"/>
      <c r="Y73" s="560"/>
      <c r="Z73" s="560"/>
      <c r="AA73" s="560"/>
      <c r="AB73" s="554"/>
      <c r="AC73" s="558"/>
      <c r="AD73" s="560"/>
      <c r="AE73" s="560"/>
      <c r="AF73" s="560"/>
      <c r="AG73" s="559" t="e">
        <f>(2.2357+1.2429*B$6)</f>
        <v>#DIV/0!</v>
      </c>
      <c r="AH73" s="554"/>
      <c r="AI73" s="797"/>
      <c r="AJ73" s="565"/>
      <c r="AK73" s="565"/>
      <c r="AL73" s="565"/>
      <c r="AM73" s="565"/>
      <c r="AN73" s="798"/>
      <c r="AO73" s="799"/>
      <c r="AP73" s="550"/>
      <c r="AR73" s="870" t="e">
        <f t="shared" si="5"/>
        <v>#DIV/0!</v>
      </c>
      <c r="AS73" s="541">
        <f t="shared" si="6"/>
        <v>0</v>
      </c>
      <c r="AT73" s="542" t="e">
        <f t="shared" si="7"/>
        <v>#DIV/0!</v>
      </c>
      <c r="AU73" s="543">
        <f>(1.7286+0.8857*B20)/100</f>
        <v>1.7285999999999999E-2</v>
      </c>
      <c r="AV73" s="536">
        <f t="shared" si="15"/>
        <v>0</v>
      </c>
      <c r="AW73" s="536" t="e">
        <f t="shared" si="8"/>
        <v>#DIV/0!</v>
      </c>
      <c r="AX73" s="544" t="e">
        <f t="shared" si="9"/>
        <v>#DIV/0!</v>
      </c>
      <c r="XAO73" s="725"/>
      <c r="XAP73" s="725"/>
      <c r="XAQ73" s="725"/>
      <c r="XAR73" s="725"/>
      <c r="XAS73" s="725"/>
      <c r="XAT73" s="725"/>
      <c r="XAU73" s="725"/>
    </row>
    <row r="74" spans="1:50 16265:16271" s="806" customFormat="1" ht="17.25" customHeight="1" x14ac:dyDescent="0.25">
      <c r="A74" s="800" t="s">
        <v>41</v>
      </c>
      <c r="B74" s="801"/>
      <c r="C74" s="561"/>
      <c r="D74" s="803"/>
      <c r="E74" s="561"/>
      <c r="F74" s="802"/>
      <c r="G74" s="803"/>
      <c r="H74" s="561"/>
      <c r="I74" s="561"/>
      <c r="J74" s="803"/>
      <c r="K74" s="561"/>
      <c r="L74" s="561"/>
      <c r="M74" s="561"/>
      <c r="N74" s="561"/>
      <c r="O74" s="555"/>
      <c r="P74" s="561"/>
      <c r="Q74" s="555"/>
      <c r="R74" s="561"/>
      <c r="S74" s="555"/>
      <c r="T74" s="561"/>
      <c r="U74" s="561"/>
      <c r="V74" s="561"/>
      <c r="W74" s="561"/>
      <c r="X74" s="561"/>
      <c r="Y74" s="561"/>
      <c r="Z74" s="561"/>
      <c r="AA74" s="561"/>
      <c r="AB74" s="555"/>
      <c r="AC74" s="561"/>
      <c r="AD74" s="561"/>
      <c r="AE74" s="802"/>
      <c r="AF74" s="802"/>
      <c r="AG74" s="802"/>
      <c r="AH74" s="555"/>
      <c r="AI74" s="803"/>
      <c r="AJ74" s="802"/>
      <c r="AK74" s="802"/>
      <c r="AL74" s="802"/>
      <c r="AM74" s="802"/>
      <c r="AN74" s="804"/>
      <c r="AO74" s="805"/>
      <c r="AP74" s="551"/>
      <c r="AR74" s="870" t="e">
        <f t="shared" si="5"/>
        <v>#DIV/0!</v>
      </c>
      <c r="AS74" s="541">
        <f t="shared" si="6"/>
        <v>0</v>
      </c>
      <c r="AT74" s="542" t="e">
        <f t="shared" si="7"/>
        <v>#DIV/0!</v>
      </c>
      <c r="AU74" s="545"/>
      <c r="AV74" s="536">
        <f t="shared" si="15"/>
        <v>0</v>
      </c>
      <c r="AW74" s="536" t="e">
        <f t="shared" si="8"/>
        <v>#DIV/0!</v>
      </c>
      <c r="AX74" s="544" t="e">
        <f t="shared" si="9"/>
        <v>#DIV/0!</v>
      </c>
      <c r="XAO74" s="807"/>
      <c r="XAP74" s="807"/>
      <c r="XAQ74" s="807"/>
      <c r="XAR74" s="807"/>
      <c r="XAS74" s="807"/>
      <c r="XAT74" s="807"/>
      <c r="XAU74" s="807"/>
    </row>
    <row r="75" spans="1:50 16265:16271" s="536" customFormat="1" ht="17.25" customHeight="1" x14ac:dyDescent="0.25">
      <c r="A75" s="833" t="s">
        <v>73</v>
      </c>
      <c r="B75" s="795" t="s">
        <v>42</v>
      </c>
      <c r="C75" s="796">
        <v>880</v>
      </c>
      <c r="D75" s="564">
        <f t="shared" si="10"/>
        <v>13.635866666666669</v>
      </c>
      <c r="E75" s="565" t="e">
        <f t="shared" si="0"/>
        <v>#DIV/0!</v>
      </c>
      <c r="F75" s="559">
        <v>19.100000000000001</v>
      </c>
      <c r="G75" s="562">
        <f t="shared" si="19"/>
        <v>1.1408333333333334</v>
      </c>
      <c r="H75" s="563">
        <f t="shared" si="11"/>
        <v>1.974</v>
      </c>
      <c r="I75" s="563" t="e">
        <f t="shared" si="12"/>
        <v>#DIV/0!</v>
      </c>
      <c r="J75" s="554">
        <v>40</v>
      </c>
      <c r="K75" s="560">
        <v>296</v>
      </c>
      <c r="L75" s="560">
        <f>AV75+AX75</f>
        <v>117.72315352964563</v>
      </c>
      <c r="M75" s="560" t="e">
        <f t="shared" ref="M75:M83" si="31" xml:space="preserve">
AR75*0.663
+
(
(
K75
*
(1-(AB75+((AC75*(AD75/100))/((AD75/100)+(AG75/100)))*EXP(-(AG75/100)*AE75))/100))*(AH75/100))</f>
        <v>#DIV/0!</v>
      </c>
      <c r="N75" s="560">
        <v>87</v>
      </c>
      <c r="O75" s="554">
        <v>91</v>
      </c>
      <c r="P75" s="560" t="e">
        <f t="shared" ref="P75:P77" si="32">O75-(1.5+0.05*(O75-65))*(B$6-1)</f>
        <v>#DIV/0!</v>
      </c>
      <c r="Q75" s="557">
        <f t="shared" si="4"/>
        <v>20.518622184829404</v>
      </c>
      <c r="R75" s="559" t="e">
        <f t="shared" ref="R75:R122" si="33">(AT75-AR75)/6.25</f>
        <v>#DIV/0!</v>
      </c>
      <c r="S75" s="554">
        <f t="shared" si="13"/>
        <v>386</v>
      </c>
      <c r="T75" s="560">
        <v>89</v>
      </c>
      <c r="U75" s="560">
        <v>443</v>
      </c>
      <c r="V75" s="560">
        <v>32</v>
      </c>
      <c r="W75" s="560">
        <v>515</v>
      </c>
      <c r="X75" s="560">
        <v>133</v>
      </c>
      <c r="Y75" s="560">
        <v>0</v>
      </c>
      <c r="Z75" s="560">
        <v>68</v>
      </c>
      <c r="AA75" s="560">
        <v>16</v>
      </c>
      <c r="AB75" s="554">
        <v>42</v>
      </c>
      <c r="AC75" s="558">
        <v>58</v>
      </c>
      <c r="AD75" s="560">
        <v>14</v>
      </c>
      <c r="AE75" s="560">
        <v>0.5</v>
      </c>
      <c r="AF75" s="565">
        <v>3.5</v>
      </c>
      <c r="AG75" s="559" t="e">
        <f t="shared" ref="AG75:AG83" si="34">(2.2357+1.2429*B$6)</f>
        <v>#DIV/0!</v>
      </c>
      <c r="AH75" s="554">
        <v>84</v>
      </c>
      <c r="AI75" s="797">
        <v>1.4</v>
      </c>
      <c r="AJ75" s="565">
        <v>6.3</v>
      </c>
      <c r="AK75" s="565">
        <v>1.6</v>
      </c>
      <c r="AL75" s="565">
        <v>0.2</v>
      </c>
      <c r="AM75" s="565">
        <v>15.8</v>
      </c>
      <c r="AN75" s="798">
        <v>0.18</v>
      </c>
      <c r="AO75" s="799">
        <v>298</v>
      </c>
      <c r="AP75" s="549">
        <v>3.5</v>
      </c>
      <c r="AR75" s="870" t="e">
        <f t="shared" si="5"/>
        <v>#DIV/0!</v>
      </c>
      <c r="AS75" s="541">
        <f t="shared" si="6"/>
        <v>131.04</v>
      </c>
      <c r="AT75" s="542" t="e">
        <f t="shared" si="7"/>
        <v>#DIV/0!</v>
      </c>
      <c r="AU75" s="543" t="e">
        <f>(2.2357+1.2429*B6)/100</f>
        <v>#DIV/0!</v>
      </c>
      <c r="AV75" s="536">
        <f>AS75*78/100*85/100</f>
        <v>86.879519999999999</v>
      </c>
      <c r="AW75" s="536">
        <f t="shared" si="8"/>
        <v>259.28138865518378</v>
      </c>
      <c r="AX75" s="544">
        <f t="shared" si="9"/>
        <v>30.843633529645629</v>
      </c>
      <c r="XAO75" s="725"/>
      <c r="XAP75" s="725"/>
      <c r="XAQ75" s="725"/>
      <c r="XAR75" s="725"/>
      <c r="XAS75" s="725"/>
      <c r="XAT75" s="725"/>
      <c r="XAU75" s="725"/>
    </row>
    <row r="76" spans="1:50 16265:16271" s="536" customFormat="1" ht="17.25" customHeight="1" x14ac:dyDescent="0.25">
      <c r="A76" s="833" t="s">
        <v>73</v>
      </c>
      <c r="B76" s="795" t="s">
        <v>188</v>
      </c>
      <c r="C76" s="796">
        <v>880</v>
      </c>
      <c r="D76" s="564">
        <f>(F76*((O76-3.3)/100))-G76-H76</f>
        <v>13.264724742268044</v>
      </c>
      <c r="E76" s="565" t="e">
        <f>(F76/(1-(J76/1000))*((P76-3.3)/100)-G76-I76)*(1-(J76/1000))</f>
        <v>#DIV/0!</v>
      </c>
      <c r="F76" s="559">
        <v>18.7</v>
      </c>
      <c r="G76" s="562">
        <f>K76*0.0037/(1-(J76/1000))</f>
        <v>0.46917525773195878</v>
      </c>
      <c r="H76" s="563">
        <f t="shared" si="11"/>
        <v>1.9179999999999999</v>
      </c>
      <c r="I76" s="563" t="e">
        <f t="shared" si="12"/>
        <v>#DIV/0!</v>
      </c>
      <c r="J76" s="554">
        <v>30</v>
      </c>
      <c r="K76" s="560">
        <v>123</v>
      </c>
      <c r="L76" s="560">
        <f>AV76+AX76</f>
        <v>98.538255000000007</v>
      </c>
      <c r="M76" s="560" t="e">
        <f t="shared" si="31"/>
        <v>#DIV/0!</v>
      </c>
      <c r="N76" s="560">
        <v>84</v>
      </c>
      <c r="O76" s="554">
        <v>87</v>
      </c>
      <c r="P76" s="560" t="e">
        <f t="shared" si="32"/>
        <v>#DIV/0!</v>
      </c>
      <c r="Q76" s="557">
        <f t="shared" si="4"/>
        <v>-3.1713599999999995</v>
      </c>
      <c r="R76" s="559" t="e">
        <f t="shared" si="33"/>
        <v>#DIV/0!</v>
      </c>
      <c r="S76" s="554">
        <f>U76+V76-T76</f>
        <v>462</v>
      </c>
      <c r="T76" s="560">
        <v>76</v>
      </c>
      <c r="U76" s="560">
        <v>506</v>
      </c>
      <c r="V76" s="560">
        <v>32</v>
      </c>
      <c r="W76" s="560">
        <v>571</v>
      </c>
      <c r="X76" s="560">
        <v>243</v>
      </c>
      <c r="Y76" s="560">
        <v>0</v>
      </c>
      <c r="Z76" s="560">
        <v>75</v>
      </c>
      <c r="AA76" s="560">
        <v>33</v>
      </c>
      <c r="AB76" s="554">
        <v>26</v>
      </c>
      <c r="AC76" s="558">
        <v>72</v>
      </c>
      <c r="AD76" s="560">
        <v>19</v>
      </c>
      <c r="AE76" s="560">
        <v>0</v>
      </c>
      <c r="AF76" s="565">
        <v>3.5</v>
      </c>
      <c r="AG76" s="559" t="e">
        <f t="shared" si="34"/>
        <v>#DIV/0!</v>
      </c>
      <c r="AH76" s="554">
        <v>90</v>
      </c>
      <c r="AI76" s="797">
        <v>0.7</v>
      </c>
      <c r="AJ76" s="565">
        <v>4</v>
      </c>
      <c r="AK76" s="565">
        <v>1.3</v>
      </c>
      <c r="AL76" s="565">
        <v>0.3</v>
      </c>
      <c r="AM76" s="565">
        <v>5</v>
      </c>
      <c r="AN76" s="798">
        <v>0.1</v>
      </c>
      <c r="AO76" s="799">
        <v>19</v>
      </c>
      <c r="AP76" s="549">
        <v>3.5</v>
      </c>
      <c r="AR76" s="870" t="e">
        <f t="shared" si="5"/>
        <v>#DIV/0!</v>
      </c>
      <c r="AS76" s="541">
        <f t="shared" si="6"/>
        <v>126.58499999999999</v>
      </c>
      <c r="AT76" s="542" t="e">
        <f t="shared" si="7"/>
        <v>#DIV/0!</v>
      </c>
      <c r="AU76" s="543" t="e">
        <f>(2.2357+1.2429*B6)/100</f>
        <v>#DIV/0!</v>
      </c>
      <c r="AV76" s="536">
        <f t="shared" si="15"/>
        <v>83.925854999999999</v>
      </c>
      <c r="AW76" s="536">
        <f t="shared" si="8"/>
        <v>106.764</v>
      </c>
      <c r="AX76" s="544">
        <f t="shared" si="9"/>
        <v>14.612400000000004</v>
      </c>
      <c r="XAO76" s="725"/>
      <c r="XAP76" s="725"/>
      <c r="XAQ76" s="725"/>
      <c r="XAR76" s="725"/>
      <c r="XAS76" s="725"/>
      <c r="XAT76" s="725"/>
      <c r="XAU76" s="725"/>
    </row>
    <row r="77" spans="1:50 16265:16271" s="536" customFormat="1" ht="17.25" customHeight="1" x14ac:dyDescent="0.25">
      <c r="A77" s="833" t="s">
        <v>73</v>
      </c>
      <c r="B77" s="795" t="s">
        <v>189</v>
      </c>
      <c r="C77" s="796">
        <v>880</v>
      </c>
      <c r="D77" s="564">
        <f t="shared" si="10"/>
        <v>13.201249135300101</v>
      </c>
      <c r="E77" s="565" t="e">
        <f t="shared" si="0"/>
        <v>#DIV/0!</v>
      </c>
      <c r="F77" s="559">
        <v>18.899999999999999</v>
      </c>
      <c r="G77" s="562">
        <f t="shared" si="19"/>
        <v>0.35005086469989827</v>
      </c>
      <c r="H77" s="563">
        <f t="shared" si="11"/>
        <v>1.89</v>
      </c>
      <c r="I77" s="563" t="e">
        <f t="shared" si="12"/>
        <v>#DIV/0!</v>
      </c>
      <c r="J77" s="554">
        <v>17</v>
      </c>
      <c r="K77" s="560">
        <v>93</v>
      </c>
      <c r="L77" s="560">
        <f t="shared" ref="L77:L81" si="35">AV77+AX77</f>
        <v>107.95637351601002</v>
      </c>
      <c r="M77" s="560" t="e">
        <f t="shared" si="31"/>
        <v>#DIV/0!</v>
      </c>
      <c r="N77" s="560">
        <v>83</v>
      </c>
      <c r="O77" s="554">
        <v>85</v>
      </c>
      <c r="P77" s="560" t="e">
        <f t="shared" si="32"/>
        <v>#DIV/0!</v>
      </c>
      <c r="Q77" s="557">
        <f t="shared" si="4"/>
        <v>-9.3166876693350034</v>
      </c>
      <c r="R77" s="559" t="e">
        <f t="shared" si="33"/>
        <v>#DIV/0!</v>
      </c>
      <c r="S77" s="554">
        <f t="shared" si="13"/>
        <v>431</v>
      </c>
      <c r="T77" s="560">
        <v>299</v>
      </c>
      <c r="U77" s="560">
        <v>711</v>
      </c>
      <c r="V77" s="560">
        <v>19</v>
      </c>
      <c r="W77" s="560">
        <v>723</v>
      </c>
      <c r="X77" s="560">
        <v>115</v>
      </c>
      <c r="Y77" s="560">
        <v>0</v>
      </c>
      <c r="Z77" s="560">
        <v>31</v>
      </c>
      <c r="AA77" s="560">
        <v>52</v>
      </c>
      <c r="AB77" s="554">
        <v>21</v>
      </c>
      <c r="AC77" s="558">
        <v>77</v>
      </c>
      <c r="AD77" s="560">
        <v>7</v>
      </c>
      <c r="AE77" s="560">
        <v>0.1</v>
      </c>
      <c r="AF77" s="565">
        <v>3.5</v>
      </c>
      <c r="AG77" s="559" t="e">
        <f t="shared" si="34"/>
        <v>#DIV/0!</v>
      </c>
      <c r="AH77" s="554">
        <v>96</v>
      </c>
      <c r="AI77" s="797">
        <v>0.3</v>
      </c>
      <c r="AJ77" s="565">
        <v>3.2</v>
      </c>
      <c r="AK77" s="565">
        <v>1.7</v>
      </c>
      <c r="AL77" s="565">
        <v>0.1</v>
      </c>
      <c r="AM77" s="565">
        <v>3.6</v>
      </c>
      <c r="AN77" s="798">
        <v>0.06</v>
      </c>
      <c r="AO77" s="799">
        <v>8</v>
      </c>
      <c r="AP77" s="549">
        <v>3.5</v>
      </c>
      <c r="AR77" s="870" t="e">
        <f t="shared" si="5"/>
        <v>#DIV/0!</v>
      </c>
      <c r="AS77" s="541">
        <f t="shared" si="6"/>
        <v>125.3325</v>
      </c>
      <c r="AT77" s="542" t="e">
        <f t="shared" si="7"/>
        <v>#DIV/0!</v>
      </c>
      <c r="AU77" s="543" t="e">
        <f>(2.2357+1.2429*B6)/100</f>
        <v>#DIV/0!</v>
      </c>
      <c r="AV77" s="536">
        <f t="shared" si="15"/>
        <v>83.095447499999992</v>
      </c>
      <c r="AW77" s="536">
        <f t="shared" si="8"/>
        <v>67.103202066656223</v>
      </c>
      <c r="AX77" s="544">
        <f t="shared" si="9"/>
        <v>24.860926016010026</v>
      </c>
      <c r="XAO77" s="725"/>
      <c r="XAP77" s="725"/>
      <c r="XAQ77" s="725"/>
      <c r="XAR77" s="725"/>
      <c r="XAS77" s="725"/>
      <c r="XAT77" s="725"/>
      <c r="XAU77" s="725"/>
    </row>
    <row r="78" spans="1:50 16265:16271" s="536" customFormat="1" ht="17.25" customHeight="1" x14ac:dyDescent="0.25">
      <c r="A78" s="833" t="s">
        <v>73</v>
      </c>
      <c r="B78" s="795" t="s">
        <v>190</v>
      </c>
      <c r="C78" s="796">
        <v>890</v>
      </c>
      <c r="D78" s="564">
        <f t="shared" si="10"/>
        <v>11.484511617806731</v>
      </c>
      <c r="E78" s="565" t="e">
        <f t="shared" si="0"/>
        <v>#DIV/0!</v>
      </c>
      <c r="F78" s="559">
        <v>19.600000000000001</v>
      </c>
      <c r="G78" s="562">
        <f t="shared" si="19"/>
        <v>1.5466883821932682</v>
      </c>
      <c r="H78" s="563">
        <f t="shared" si="11"/>
        <v>1.806</v>
      </c>
      <c r="I78" s="563" t="e">
        <f t="shared" si="12"/>
        <v>#DIV/0!</v>
      </c>
      <c r="J78" s="554">
        <v>79</v>
      </c>
      <c r="K78" s="808">
        <v>385</v>
      </c>
      <c r="L78" s="560">
        <f t="shared" si="35"/>
        <v>144.2477349539856</v>
      </c>
      <c r="M78" s="560" t="e">
        <f t="shared" si="31"/>
        <v>#DIV/0!</v>
      </c>
      <c r="N78" s="560">
        <v>72</v>
      </c>
      <c r="O78" s="554">
        <v>79</v>
      </c>
      <c r="P78" s="560" t="e">
        <f>O78-(1.5+0.05*(O78-65))*(B$6-1)</f>
        <v>#DIV/0!</v>
      </c>
      <c r="Q78" s="557">
        <f t="shared" si="4"/>
        <v>29.937561589336177</v>
      </c>
      <c r="R78" s="559" t="e">
        <f t="shared" si="33"/>
        <v>#DIV/0!</v>
      </c>
      <c r="S78" s="554">
        <f t="shared" si="13"/>
        <v>151</v>
      </c>
      <c r="T78" s="560">
        <v>7</v>
      </c>
      <c r="U78" s="560">
        <v>72</v>
      </c>
      <c r="V78" s="560">
        <v>86</v>
      </c>
      <c r="W78" s="560">
        <v>203</v>
      </c>
      <c r="X78" s="560">
        <v>298</v>
      </c>
      <c r="Y78" s="560">
        <v>0</v>
      </c>
      <c r="Z78" s="560">
        <v>217</v>
      </c>
      <c r="AA78" s="560">
        <v>35</v>
      </c>
      <c r="AB78" s="554">
        <v>16</v>
      </c>
      <c r="AC78" s="558">
        <v>79</v>
      </c>
      <c r="AD78" s="560">
        <v>12</v>
      </c>
      <c r="AE78" s="560">
        <v>0.1</v>
      </c>
      <c r="AF78" s="565">
        <v>3.5</v>
      </c>
      <c r="AG78" s="559" t="e">
        <f t="shared" si="34"/>
        <v>#DIV/0!</v>
      </c>
      <c r="AH78" s="554">
        <v>81</v>
      </c>
      <c r="AI78" s="797">
        <v>8.6999999999999993</v>
      </c>
      <c r="AJ78" s="565">
        <v>11.9</v>
      </c>
      <c r="AK78" s="565">
        <v>6</v>
      </c>
      <c r="AL78" s="565">
        <v>0.5</v>
      </c>
      <c r="AM78" s="565">
        <v>14</v>
      </c>
      <c r="AN78" s="798">
        <v>1.1000000000000001</v>
      </c>
      <c r="AO78" s="799">
        <v>-124</v>
      </c>
      <c r="AP78" s="549">
        <v>3.5</v>
      </c>
      <c r="AR78" s="870" t="e">
        <f t="shared" si="5"/>
        <v>#DIV/0!</v>
      </c>
      <c r="AS78" s="541">
        <f t="shared" si="6"/>
        <v>109.13849999999999</v>
      </c>
      <c r="AT78" s="542" t="e">
        <f t="shared" si="7"/>
        <v>#DIV/0!</v>
      </c>
      <c r="AU78" s="543" t="e">
        <f>(2.2357+1.2429*B6)/100</f>
        <v>#DIV/0!</v>
      </c>
      <c r="AV78" s="536">
        <f t="shared" si="15"/>
        <v>72.358825499999995</v>
      </c>
      <c r="AW78" s="536">
        <f t="shared" si="8"/>
        <v>296.24825993335111</v>
      </c>
      <c r="AX78" s="544">
        <f t="shared" si="9"/>
        <v>71.888909453985605</v>
      </c>
      <c r="XAO78" s="725"/>
      <c r="XAP78" s="725"/>
      <c r="XAQ78" s="725"/>
      <c r="XAR78" s="725"/>
      <c r="XAS78" s="725"/>
      <c r="XAT78" s="725"/>
      <c r="XAU78" s="725"/>
    </row>
    <row r="79" spans="1:50 16265:16271" s="536" customFormat="1" ht="17.25" customHeight="1" x14ac:dyDescent="0.25">
      <c r="A79" s="833" t="s">
        <v>73</v>
      </c>
      <c r="B79" s="795" t="s">
        <v>216</v>
      </c>
      <c r="C79" s="796">
        <v>890</v>
      </c>
      <c r="D79" s="564">
        <f t="shared" si="10"/>
        <v>13.680448981779207</v>
      </c>
      <c r="E79" s="565" t="e">
        <f t="shared" si="0"/>
        <v>#DIV/0!</v>
      </c>
      <c r="F79" s="559">
        <v>19.899999999999999</v>
      </c>
      <c r="G79" s="562">
        <f t="shared" si="19"/>
        <v>1.982851018220793</v>
      </c>
      <c r="H79" s="563">
        <f t="shared" si="11"/>
        <v>1.988</v>
      </c>
      <c r="I79" s="563" t="e">
        <f t="shared" si="12"/>
        <v>#DIV/0!</v>
      </c>
      <c r="J79" s="554">
        <v>67</v>
      </c>
      <c r="K79" s="808">
        <v>500</v>
      </c>
      <c r="L79" s="560">
        <f t="shared" si="35"/>
        <v>220.54371080463198</v>
      </c>
      <c r="M79" s="560" t="e">
        <f t="shared" si="31"/>
        <v>#DIV/0!</v>
      </c>
      <c r="N79" s="560">
        <v>85</v>
      </c>
      <c r="O79" s="554">
        <v>92</v>
      </c>
      <c r="P79" s="560" t="e">
        <f t="shared" ref="P79" si="36">O79-(1.5+0.05*(O79-65))*(B$6-1)</f>
        <v>#DIV/0!</v>
      </c>
      <c r="Q79" s="557">
        <f t="shared" si="4"/>
        <v>36.86939186589467</v>
      </c>
      <c r="R79" s="559" t="e">
        <f t="shared" si="33"/>
        <v>#DIV/0!</v>
      </c>
      <c r="S79" s="554">
        <f t="shared" si="13"/>
        <v>165</v>
      </c>
      <c r="T79" s="560">
        <v>7</v>
      </c>
      <c r="U79" s="560">
        <v>68</v>
      </c>
      <c r="V79" s="560">
        <v>104</v>
      </c>
      <c r="W79" s="560">
        <v>261</v>
      </c>
      <c r="X79" s="560">
        <v>154</v>
      </c>
      <c r="Y79" s="560">
        <v>0</v>
      </c>
      <c r="Z79" s="560">
        <v>87</v>
      </c>
      <c r="AA79" s="560">
        <v>18</v>
      </c>
      <c r="AB79" s="554">
        <v>6</v>
      </c>
      <c r="AC79" s="558">
        <v>94</v>
      </c>
      <c r="AD79" s="560">
        <v>10</v>
      </c>
      <c r="AE79" s="560">
        <v>1.6</v>
      </c>
      <c r="AF79" s="565">
        <v>3.5</v>
      </c>
      <c r="AG79" s="559" t="e">
        <f t="shared" si="34"/>
        <v>#DIV/0!</v>
      </c>
      <c r="AH79" s="554">
        <v>96</v>
      </c>
      <c r="AI79" s="797">
        <v>3.1</v>
      </c>
      <c r="AJ79" s="565">
        <v>7</v>
      </c>
      <c r="AK79" s="565">
        <v>3</v>
      </c>
      <c r="AL79" s="565">
        <v>0.2</v>
      </c>
      <c r="AM79" s="565">
        <v>22</v>
      </c>
      <c r="AN79" s="798">
        <v>0.25</v>
      </c>
      <c r="AO79" s="799">
        <v>258</v>
      </c>
      <c r="AP79" s="549">
        <v>3.5</v>
      </c>
      <c r="AR79" s="870" t="e">
        <f t="shared" si="5"/>
        <v>#DIV/0!</v>
      </c>
      <c r="AS79" s="541">
        <f t="shared" si="6"/>
        <v>128.75399999999999</v>
      </c>
      <c r="AT79" s="542" t="e">
        <f t="shared" si="7"/>
        <v>#DIV/0!</v>
      </c>
      <c r="AU79" s="543" t="e">
        <f>(2.2357+1.2429*B6)/100</f>
        <v>#DIV/0!</v>
      </c>
      <c r="AV79" s="536">
        <f t="shared" si="15"/>
        <v>85.363901999999996</v>
      </c>
      <c r="AW79" s="536">
        <f t="shared" si="8"/>
        <v>359.18769916184169</v>
      </c>
      <c r="AX79" s="544">
        <f t="shared" si="9"/>
        <v>135.17980880463199</v>
      </c>
      <c r="XAO79" s="725"/>
      <c r="XAP79" s="725"/>
      <c r="XAQ79" s="725"/>
      <c r="XAR79" s="725"/>
      <c r="XAS79" s="725"/>
      <c r="XAT79" s="725"/>
      <c r="XAU79" s="725"/>
    </row>
    <row r="80" spans="1:50 16265:16271" s="536" customFormat="1" ht="17.149999999999999" customHeight="1" x14ac:dyDescent="0.25">
      <c r="A80" s="833" t="s">
        <v>73</v>
      </c>
      <c r="B80" s="795" t="s">
        <v>191</v>
      </c>
      <c r="C80" s="796">
        <v>890</v>
      </c>
      <c r="D80" s="564">
        <f t="shared" si="10"/>
        <v>13.475298726114648</v>
      </c>
      <c r="E80" s="565" t="e">
        <f t="shared" si="0"/>
        <v>#DIV/0!</v>
      </c>
      <c r="F80" s="559">
        <v>20.100000000000001</v>
      </c>
      <c r="G80" s="562">
        <f t="shared" si="19"/>
        <v>1.9914012738853506</v>
      </c>
      <c r="H80" s="563">
        <f t="shared" si="11"/>
        <v>1.96</v>
      </c>
      <c r="I80" s="563" t="e">
        <f t="shared" si="12"/>
        <v>#DIV/0!</v>
      </c>
      <c r="J80" s="554">
        <v>58</v>
      </c>
      <c r="K80" s="808">
        <v>507</v>
      </c>
      <c r="L80" s="560">
        <f t="shared" si="35"/>
        <v>316.52166166951088</v>
      </c>
      <c r="M80" s="560" t="e">
        <f t="shared" si="31"/>
        <v>#DIV/0!</v>
      </c>
      <c r="N80" s="560">
        <v>84</v>
      </c>
      <c r="O80" s="554">
        <v>90</v>
      </c>
      <c r="P80" s="560" t="e">
        <f>O80-(1.5+0.05*(O80-65))*(B$6-1)</f>
        <v>#DIV/0!</v>
      </c>
      <c r="Q80" s="557">
        <f t="shared" si="4"/>
        <v>16.54271396771221</v>
      </c>
      <c r="R80" s="559" t="e">
        <f t="shared" si="33"/>
        <v>#DIV/0!</v>
      </c>
      <c r="S80" s="554">
        <f t="shared" si="13"/>
        <v>123</v>
      </c>
      <c r="T80" s="560">
        <v>2</v>
      </c>
      <c r="U80" s="560">
        <v>22</v>
      </c>
      <c r="V80" s="560">
        <v>103</v>
      </c>
      <c r="W80" s="560">
        <v>150</v>
      </c>
      <c r="X80" s="560">
        <v>273</v>
      </c>
      <c r="Y80" s="560">
        <v>0</v>
      </c>
      <c r="Z80" s="560">
        <v>150</v>
      </c>
      <c r="AA80" s="560">
        <v>12</v>
      </c>
      <c r="AB80" s="554">
        <v>7</v>
      </c>
      <c r="AC80" s="558">
        <v>89</v>
      </c>
      <c r="AD80" s="560">
        <v>4</v>
      </c>
      <c r="AE80" s="560">
        <v>6</v>
      </c>
      <c r="AF80" s="565">
        <v>3.5</v>
      </c>
      <c r="AG80" s="559" t="e">
        <f t="shared" si="34"/>
        <v>#DIV/0!</v>
      </c>
      <c r="AH80" s="554">
        <v>84</v>
      </c>
      <c r="AI80" s="797">
        <v>3</v>
      </c>
      <c r="AJ80" s="565">
        <v>6.4</v>
      </c>
      <c r="AK80" s="565">
        <v>2.7</v>
      </c>
      <c r="AL80" s="565">
        <v>0.2</v>
      </c>
      <c r="AM80" s="565">
        <v>23</v>
      </c>
      <c r="AN80" s="798">
        <v>0.25</v>
      </c>
      <c r="AO80" s="799">
        <v>280</v>
      </c>
      <c r="AP80" s="549">
        <v>3.5</v>
      </c>
      <c r="AR80" s="870" t="e">
        <f t="shared" si="5"/>
        <v>#DIV/0!</v>
      </c>
      <c r="AS80" s="541">
        <f t="shared" si="6"/>
        <v>127.17</v>
      </c>
      <c r="AT80" s="542" t="e">
        <f>K80*((AB80+((AC80*(AD80/100))/((AD80/100)+(AG80/100)))*EXP(-(AG80/100)*AE80))/100)</f>
        <v>#DIV/0!</v>
      </c>
      <c r="AU80" s="543" t="e">
        <f>(2.2357+1.2429*B6)/100</f>
        <v>#DIV/0!</v>
      </c>
      <c r="AV80" s="536">
        <f t="shared" si="15"/>
        <v>84.313709999999986</v>
      </c>
      <c r="AW80" s="536">
        <f t="shared" si="8"/>
        <v>230.56196229820131</v>
      </c>
      <c r="AX80" s="544">
        <f t="shared" si="9"/>
        <v>232.20795166951092</v>
      </c>
      <c r="XAO80" s="725"/>
      <c r="XAP80" s="725"/>
      <c r="XAQ80" s="725"/>
      <c r="XAR80" s="725"/>
      <c r="XAS80" s="725"/>
      <c r="XAT80" s="725"/>
      <c r="XAU80" s="725"/>
    </row>
    <row r="81" spans="1:50 16265:16271" s="811" customFormat="1" ht="17.149999999999999" customHeight="1" x14ac:dyDescent="0.25">
      <c r="A81" s="833" t="s">
        <v>73</v>
      </c>
      <c r="B81" s="795" t="s">
        <v>192</v>
      </c>
      <c r="C81" s="796">
        <v>880</v>
      </c>
      <c r="D81" s="564">
        <f t="shared" si="10"/>
        <v>13.144797349643225</v>
      </c>
      <c r="E81" s="565" t="e">
        <f>(F81/(1-(J81/1000))*((P81-3.3)/100)-G81-I81)*(1-(J81/1000))</f>
        <v>#DIV/0!</v>
      </c>
      <c r="F81" s="559">
        <v>18.600000000000001</v>
      </c>
      <c r="G81" s="562">
        <f t="shared" si="19"/>
        <v>0.50540265035677878</v>
      </c>
      <c r="H81" s="563">
        <f t="shared" si="11"/>
        <v>1.9179999999999999</v>
      </c>
      <c r="I81" s="563" t="e">
        <f t="shared" si="12"/>
        <v>#DIV/0!</v>
      </c>
      <c r="J81" s="554">
        <v>19</v>
      </c>
      <c r="K81" s="809">
        <v>134</v>
      </c>
      <c r="L81" s="560">
        <f t="shared" si="35"/>
        <v>100.65109912332734</v>
      </c>
      <c r="M81" s="560" t="e">
        <f t="shared" si="31"/>
        <v>#DIV/0!</v>
      </c>
      <c r="N81" s="558">
        <v>85</v>
      </c>
      <c r="O81" s="554">
        <v>87</v>
      </c>
      <c r="P81" s="560" t="e">
        <f>O81-(1.5+0.05*(O81-65))*(B$6-1)</f>
        <v>#DIV/0!</v>
      </c>
      <c r="Q81" s="557">
        <f t="shared" si="4"/>
        <v>-1.911190476968609</v>
      </c>
      <c r="R81" s="559" t="e">
        <f t="shared" si="33"/>
        <v>#DIV/0!</v>
      </c>
      <c r="S81" s="554">
        <f>U81+V81-T81</f>
        <v>560</v>
      </c>
      <c r="T81" s="810">
        <v>93</v>
      </c>
      <c r="U81" s="810">
        <v>622</v>
      </c>
      <c r="V81" s="810">
        <v>31</v>
      </c>
      <c r="W81" s="810">
        <v>680</v>
      </c>
      <c r="X81" s="810">
        <v>142</v>
      </c>
      <c r="Y81" s="560">
        <v>0</v>
      </c>
      <c r="Z81" s="810">
        <v>38</v>
      </c>
      <c r="AA81" s="810">
        <v>25</v>
      </c>
      <c r="AB81" s="554">
        <v>20</v>
      </c>
      <c r="AC81" s="558">
        <v>78</v>
      </c>
      <c r="AD81" s="558">
        <v>21</v>
      </c>
      <c r="AE81" s="558">
        <v>0.1</v>
      </c>
      <c r="AF81" s="565">
        <v>3.5</v>
      </c>
      <c r="AG81" s="559" t="e">
        <f t="shared" si="34"/>
        <v>#DIV/0!</v>
      </c>
      <c r="AH81" s="554">
        <v>88</v>
      </c>
      <c r="AI81" s="797">
        <v>0.5</v>
      </c>
      <c r="AJ81" s="559">
        <v>3.2</v>
      </c>
      <c r="AK81" s="559">
        <v>1.3</v>
      </c>
      <c r="AL81" s="559">
        <v>0.1</v>
      </c>
      <c r="AM81" s="559">
        <v>4.5</v>
      </c>
      <c r="AN81" s="798">
        <v>0.1</v>
      </c>
      <c r="AO81" s="799">
        <v>-19</v>
      </c>
      <c r="AP81" s="549">
        <v>3.5</v>
      </c>
      <c r="AR81" s="870" t="e">
        <f t="shared" si="5"/>
        <v>#DIV/0!</v>
      </c>
      <c r="AS81" s="541">
        <f t="shared" si="6"/>
        <v>128.0205</v>
      </c>
      <c r="AT81" s="542" t="e">
        <f t="shared" si="7"/>
        <v>#DIV/0!</v>
      </c>
      <c r="AU81" s="543" t="e">
        <f>(2.2357+1.2429*B6)/100</f>
        <v>#DIV/0!</v>
      </c>
      <c r="AV81" s="536">
        <f t="shared" si="15"/>
        <v>84.877591499999994</v>
      </c>
      <c r="AW81" s="536">
        <f>K81*((AB81+((AC81*(AD81/100))/((AD81/100)+(AP81/100)))*EXP(-(AP81/100)*AE81))/100)</f>
        <v>116.07555951894619</v>
      </c>
      <c r="AX81" s="544">
        <f t="shared" si="9"/>
        <v>15.773507623327351</v>
      </c>
      <c r="XAO81" s="812"/>
      <c r="XAP81" s="812"/>
      <c r="XAQ81" s="812"/>
      <c r="XAR81" s="812"/>
      <c r="XAS81" s="812"/>
      <c r="XAT81" s="812"/>
      <c r="XAU81" s="812"/>
    </row>
    <row r="82" spans="1:50 16265:16271" s="536" customFormat="1" ht="17.25" customHeight="1" x14ac:dyDescent="0.25">
      <c r="A82" s="833" t="s">
        <v>73</v>
      </c>
      <c r="B82" s="795" t="s">
        <v>217</v>
      </c>
      <c r="C82" s="796">
        <v>900</v>
      </c>
      <c r="D82" s="564">
        <f t="shared" si="10"/>
        <v>13.001899999999999</v>
      </c>
      <c r="E82" s="565" t="e">
        <f t="shared" si="0"/>
        <v>#DIV/0!</v>
      </c>
      <c r="F82" s="559">
        <v>17.7</v>
      </c>
      <c r="G82" s="562">
        <f t="shared" si="19"/>
        <v>0.38400000000000001</v>
      </c>
      <c r="H82" s="563">
        <f t="shared" si="11"/>
        <v>1.96</v>
      </c>
      <c r="I82" s="563" t="e">
        <f t="shared" si="12"/>
        <v>#DIV/0!</v>
      </c>
      <c r="J82" s="554">
        <v>75</v>
      </c>
      <c r="K82" s="808">
        <v>96</v>
      </c>
      <c r="L82" s="560">
        <f>AV82+AX82</f>
        <v>98.620538793103464</v>
      </c>
      <c r="M82" s="560" t="e">
        <f xml:space="preserve">
AR82*0.663
+
(
(
K82
*
(1-(AB82+((AC82*(AD82/100))/((AD82/100)+(AG82/100)))*EXP(-(AG82/100)*AE82))/100))*(AH82/100))</f>
        <v>#DIV/0!</v>
      </c>
      <c r="N82" s="560">
        <v>83</v>
      </c>
      <c r="O82" s="554">
        <v>90</v>
      </c>
      <c r="P82" s="560" t="e">
        <f t="shared" ref="P82:P122" si="37">O82-(1.5+0.05*(O82-65))*(B$6-1)</f>
        <v>#DIV/0!</v>
      </c>
      <c r="Q82" s="557">
        <f t="shared" si="4"/>
        <v>-8.0892413793103461</v>
      </c>
      <c r="R82" s="559" t="e">
        <f>(AT82-AR82)/6.25</f>
        <v>#DIV/0!</v>
      </c>
      <c r="S82" s="554">
        <f>U82+V82-T82</f>
        <v>171</v>
      </c>
      <c r="T82" s="560">
        <v>0</v>
      </c>
      <c r="U82" s="560">
        <v>0</v>
      </c>
      <c r="V82" s="560">
        <v>171</v>
      </c>
      <c r="W82" s="560">
        <v>417</v>
      </c>
      <c r="X82" s="560">
        <v>399</v>
      </c>
      <c r="Y82" s="560">
        <v>0</v>
      </c>
      <c r="Z82" s="560">
        <v>226</v>
      </c>
      <c r="AA82" s="560">
        <v>13</v>
      </c>
      <c r="AB82" s="554">
        <v>19</v>
      </c>
      <c r="AC82" s="558">
        <v>77</v>
      </c>
      <c r="AD82" s="560">
        <v>11</v>
      </c>
      <c r="AE82" s="560">
        <v>0</v>
      </c>
      <c r="AF82" s="565">
        <v>3.5</v>
      </c>
      <c r="AG82" s="559" t="e">
        <f>(2.2357+1.2429*B$6)</f>
        <v>#DIV/0!</v>
      </c>
      <c r="AH82" s="554">
        <v>73</v>
      </c>
      <c r="AI82" s="797">
        <v>11</v>
      </c>
      <c r="AJ82" s="565">
        <v>0.8</v>
      </c>
      <c r="AK82" s="565">
        <v>1.8</v>
      </c>
      <c r="AL82" s="565">
        <v>1.7</v>
      </c>
      <c r="AM82" s="565">
        <v>11.3</v>
      </c>
      <c r="AN82" s="798">
        <v>0.25</v>
      </c>
      <c r="AO82" s="799">
        <v>137</v>
      </c>
      <c r="AP82" s="549">
        <v>3.5</v>
      </c>
      <c r="AR82" s="870" t="e">
        <f t="shared" si="5"/>
        <v>#DIV/0!</v>
      </c>
      <c r="AS82" s="541">
        <f t="shared" si="6"/>
        <v>124.875</v>
      </c>
      <c r="AT82" s="542" t="e">
        <f t="shared" si="7"/>
        <v>#DIV/0!</v>
      </c>
      <c r="AU82" s="543" t="e">
        <f>(2.2357+1.2429*B6)/100</f>
        <v>#DIV/0!</v>
      </c>
      <c r="AV82" s="536">
        <f t="shared" si="15"/>
        <v>82.792124999999999</v>
      </c>
      <c r="AW82" s="536">
        <f t="shared" si="8"/>
        <v>74.317241379310332</v>
      </c>
      <c r="AX82" s="544">
        <f t="shared" si="9"/>
        <v>15.828413793103458</v>
      </c>
      <c r="XAO82" s="725"/>
      <c r="XAP82" s="725"/>
      <c r="XAQ82" s="725"/>
      <c r="XAR82" s="725"/>
      <c r="XAS82" s="725"/>
      <c r="XAT82" s="725"/>
      <c r="XAU82" s="725"/>
    </row>
    <row r="83" spans="1:50 16265:16271" ht="17.25" customHeight="1" x14ac:dyDescent="0.25">
      <c r="A83" s="833" t="s">
        <v>73</v>
      </c>
      <c r="B83" s="814" t="s">
        <v>200</v>
      </c>
      <c r="C83" s="815">
        <v>880</v>
      </c>
      <c r="D83" s="564">
        <f>(F83*((O83-3.3)/100))-G83-H83</f>
        <v>12.297942780748663</v>
      </c>
      <c r="E83" s="565" t="e">
        <f>(F83/(1-(J83/1000))*((P83-3.3)/100)-G83-I83)*(1-(J83/1000))</f>
        <v>#DIV/0!</v>
      </c>
      <c r="F83" s="816">
        <v>18.7</v>
      </c>
      <c r="G83" s="562">
        <f>K83*0.0037/(1-(J83/1000))</f>
        <v>0.74395721925133684</v>
      </c>
      <c r="H83" s="563">
        <f t="shared" si="11"/>
        <v>1.8619999999999999</v>
      </c>
      <c r="I83" s="563" t="e">
        <f t="shared" si="12"/>
        <v>#DIV/0!</v>
      </c>
      <c r="J83" s="796">
        <v>65</v>
      </c>
      <c r="K83" s="817" t="s">
        <v>277</v>
      </c>
      <c r="L83" s="560">
        <f>AV83+AX83</f>
        <v>118.26843231057502</v>
      </c>
      <c r="M83" s="560" t="e">
        <f t="shared" si="31"/>
        <v>#DIV/0!</v>
      </c>
      <c r="N83" s="818">
        <v>77</v>
      </c>
      <c r="O83" s="556">
        <v>83</v>
      </c>
      <c r="P83" s="560" t="e">
        <f>O83-(1.5+0.05*(O83-65))*(B$6-1)</f>
        <v>#DIV/0!</v>
      </c>
      <c r="Q83" s="557">
        <f>(AW83-AS83)/6.25</f>
        <v>3.72016285918588</v>
      </c>
      <c r="R83" s="559" t="e">
        <f>(AT83-AR83)/6.25</f>
        <v>#DIV/0!</v>
      </c>
      <c r="S83" s="556">
        <f>U83+V83-T83</f>
        <v>299</v>
      </c>
      <c r="T83" s="819">
        <v>71</v>
      </c>
      <c r="U83" s="819">
        <v>262</v>
      </c>
      <c r="V83" s="819">
        <v>108</v>
      </c>
      <c r="W83" s="819">
        <v>418</v>
      </c>
      <c r="X83" s="819">
        <v>290</v>
      </c>
      <c r="Y83" s="819">
        <v>0</v>
      </c>
      <c r="Z83" s="819">
        <v>113</v>
      </c>
      <c r="AA83" s="820">
        <v>40</v>
      </c>
      <c r="AB83" s="796">
        <v>23</v>
      </c>
      <c r="AC83" s="820">
        <v>71</v>
      </c>
      <c r="AD83" s="820">
        <v>11</v>
      </c>
      <c r="AE83" s="819">
        <v>1.4</v>
      </c>
      <c r="AF83" s="565">
        <v>3.5</v>
      </c>
      <c r="AG83" s="559" t="e">
        <f t="shared" si="34"/>
        <v>#DIV/0!</v>
      </c>
      <c r="AH83" s="796">
        <v>85</v>
      </c>
      <c r="AI83" s="557">
        <v>8.4</v>
      </c>
      <c r="AJ83" s="821">
        <v>5.8</v>
      </c>
      <c r="AK83" s="821">
        <v>3.4</v>
      </c>
      <c r="AL83" s="821">
        <v>2.1</v>
      </c>
      <c r="AM83" s="821">
        <v>12</v>
      </c>
      <c r="AN83" s="822">
        <v>0.2</v>
      </c>
      <c r="AO83" s="823">
        <v>207</v>
      </c>
      <c r="AP83" s="549">
        <v>3.5</v>
      </c>
      <c r="AR83" s="870" t="e">
        <f t="shared" si="5"/>
        <v>#DIV/0!</v>
      </c>
      <c r="AS83" s="541">
        <f t="shared" si="6"/>
        <v>116.4075</v>
      </c>
      <c r="AT83" s="542" t="e">
        <f t="shared" si="7"/>
        <v>#DIV/0!</v>
      </c>
      <c r="AU83" s="543" t="e">
        <f>(2.2357+1.2429*B6)/100</f>
        <v>#DIV/0!</v>
      </c>
      <c r="AV83" s="536">
        <f>AS83*78/100*85/100</f>
        <v>77.178172500000002</v>
      </c>
      <c r="AW83" s="536">
        <f t="shared" si="8"/>
        <v>139.65851786991175</v>
      </c>
      <c r="AX83" s="544">
        <f t="shared" si="9"/>
        <v>41.09025981057502</v>
      </c>
    </row>
    <row r="84" spans="1:50 16265:16271" s="552" customFormat="1" ht="22.5" customHeight="1" x14ac:dyDescent="0.25">
      <c r="A84" s="800" t="s">
        <v>197</v>
      </c>
      <c r="B84" s="824"/>
      <c r="C84" s="825"/>
      <c r="D84" s="803"/>
      <c r="E84" s="825"/>
      <c r="F84" s="802"/>
      <c r="G84" s="803"/>
      <c r="H84" s="561"/>
      <c r="I84" s="561"/>
      <c r="J84" s="803"/>
      <c r="K84" s="825"/>
      <c r="L84" s="825"/>
      <c r="M84" s="825"/>
      <c r="N84" s="825"/>
      <c r="O84" s="826"/>
      <c r="P84" s="825"/>
      <c r="Q84" s="826"/>
      <c r="R84" s="825"/>
      <c r="S84" s="826"/>
      <c r="T84" s="825"/>
      <c r="U84" s="825"/>
      <c r="V84" s="825"/>
      <c r="W84" s="825"/>
      <c r="X84" s="825"/>
      <c r="Y84" s="825"/>
      <c r="Z84" s="825"/>
      <c r="AA84" s="825"/>
      <c r="AB84" s="826"/>
      <c r="AC84" s="825"/>
      <c r="AD84" s="825"/>
      <c r="AE84" s="825"/>
      <c r="AF84" s="825"/>
      <c r="AG84" s="802"/>
      <c r="AH84" s="826"/>
      <c r="AI84" s="803"/>
      <c r="AJ84" s="802"/>
      <c r="AK84" s="802"/>
      <c r="AL84" s="802"/>
      <c r="AM84" s="802"/>
      <c r="AN84" s="804"/>
      <c r="AO84" s="827"/>
      <c r="AQ84" s="806"/>
      <c r="AR84" s="870" t="e">
        <f t="shared" si="5"/>
        <v>#DIV/0!</v>
      </c>
      <c r="AS84" s="541">
        <f t="shared" si="6"/>
        <v>0</v>
      </c>
      <c r="AT84" s="542" t="e">
        <f t="shared" si="7"/>
        <v>#DIV/0!</v>
      </c>
      <c r="AU84" s="546"/>
      <c r="AV84" s="536">
        <f t="shared" si="15"/>
        <v>0</v>
      </c>
      <c r="AW84" s="536" t="e">
        <f t="shared" si="8"/>
        <v>#DIV/0!</v>
      </c>
      <c r="AX84" s="544" t="e">
        <f t="shared" si="9"/>
        <v>#DIV/0!</v>
      </c>
      <c r="XAO84" s="828"/>
      <c r="XAP84" s="828"/>
      <c r="XAQ84" s="828"/>
      <c r="XAR84" s="828"/>
      <c r="XAS84" s="828"/>
      <c r="XAT84" s="828"/>
      <c r="XAU84" s="828"/>
    </row>
    <row r="85" spans="1:50 16265:16271" s="831" customFormat="1" ht="17.25" customHeight="1" x14ac:dyDescent="0.25">
      <c r="A85" s="829"/>
      <c r="B85" s="795" t="s">
        <v>198</v>
      </c>
      <c r="C85" s="819">
        <v>990</v>
      </c>
      <c r="D85" s="557">
        <v>18.600000000000001</v>
      </c>
      <c r="E85" s="565">
        <v>16.8</v>
      </c>
      <c r="F85" s="816">
        <v>32.6</v>
      </c>
      <c r="G85" s="562">
        <f t="shared" si="19"/>
        <v>10.637500000000001</v>
      </c>
      <c r="H85" s="563">
        <f t="shared" si="11"/>
        <v>2.1</v>
      </c>
      <c r="I85" s="563" t="e">
        <f t="shared" si="12"/>
        <v>#DIV/0!</v>
      </c>
      <c r="J85" s="796">
        <v>0</v>
      </c>
      <c r="K85" s="819">
        <v>2875</v>
      </c>
      <c r="L85" s="560">
        <f>AV85</f>
        <v>99.45</v>
      </c>
      <c r="M85" s="560" t="e">
        <f>AR85*78/100*85/100</f>
        <v>#DIV/0!</v>
      </c>
      <c r="N85" s="819">
        <v>99</v>
      </c>
      <c r="O85" s="796">
        <v>100</v>
      </c>
      <c r="P85" s="560" t="e">
        <f t="shared" si="37"/>
        <v>#DIV/0!</v>
      </c>
      <c r="Q85" s="557">
        <f>(K85-AS85)/6.25</f>
        <v>436</v>
      </c>
      <c r="R85" s="559" t="e">
        <f>(K85-AR85)/6.25</f>
        <v>#DIV/0!</v>
      </c>
      <c r="S85" s="556">
        <f t="shared" si="13"/>
        <v>0</v>
      </c>
      <c r="T85" s="819">
        <v>0</v>
      </c>
      <c r="U85" s="818">
        <v>0</v>
      </c>
      <c r="V85" s="819">
        <v>0</v>
      </c>
      <c r="W85" s="818">
        <v>0</v>
      </c>
      <c r="X85" s="819">
        <v>0</v>
      </c>
      <c r="Y85" s="819">
        <v>0</v>
      </c>
      <c r="Z85" s="818">
        <v>0</v>
      </c>
      <c r="AA85" s="820">
        <v>0</v>
      </c>
      <c r="AB85" s="796">
        <v>100</v>
      </c>
      <c r="AC85" s="820">
        <v>0</v>
      </c>
      <c r="AD85" s="820">
        <v>0</v>
      </c>
      <c r="AE85" s="819">
        <v>0</v>
      </c>
      <c r="AF85" s="819">
        <v>3.5</v>
      </c>
      <c r="AG85" s="816" t="e">
        <f>(2.2357+1.2429*B$6)</f>
        <v>#DIV/0!</v>
      </c>
      <c r="AH85" s="796">
        <v>99</v>
      </c>
      <c r="AI85" s="557">
        <v>0</v>
      </c>
      <c r="AJ85" s="821">
        <v>0</v>
      </c>
      <c r="AK85" s="821">
        <v>0</v>
      </c>
      <c r="AL85" s="821">
        <v>0</v>
      </c>
      <c r="AM85" s="821">
        <v>0</v>
      </c>
      <c r="AN85" s="822">
        <v>0</v>
      </c>
      <c r="AO85" s="823">
        <v>0</v>
      </c>
      <c r="AP85" s="549">
        <v>0</v>
      </c>
      <c r="AQ85" s="536"/>
      <c r="AR85" s="870" t="e">
        <f t="shared" si="5"/>
        <v>#DIV/0!</v>
      </c>
      <c r="AS85" s="541">
        <f t="shared" si="6"/>
        <v>150</v>
      </c>
      <c r="AT85" s="542" t="e">
        <f t="shared" si="7"/>
        <v>#DIV/0!</v>
      </c>
      <c r="AU85" s="543">
        <v>0</v>
      </c>
      <c r="AV85" s="536">
        <f>AS85*78/100*85/100</f>
        <v>99.45</v>
      </c>
      <c r="AW85" s="536" t="e">
        <f>K85*((AB85+((AC85*(AD85/100))/((AD85/100)+(AP85/100)))*EXP(-(AP85/100)*AE85))/100)</f>
        <v>#DIV/0!</v>
      </c>
      <c r="AX85" s="544" t="e">
        <f t="shared" si="9"/>
        <v>#DIV/0!</v>
      </c>
      <c r="XAO85" s="832"/>
      <c r="XAP85" s="832"/>
      <c r="XAQ85" s="832"/>
      <c r="XAR85" s="832"/>
      <c r="XAS85" s="832"/>
      <c r="XAT85" s="832"/>
      <c r="XAU85" s="832"/>
    </row>
    <row r="86" spans="1:50 16265:16271" s="831" customFormat="1" ht="17.25" customHeight="1" x14ac:dyDescent="0.25">
      <c r="A86" s="829"/>
      <c r="B86" s="795" t="s">
        <v>201</v>
      </c>
      <c r="C86" s="819">
        <v>990</v>
      </c>
      <c r="D86" s="557">
        <v>15</v>
      </c>
      <c r="E86" s="565" t="e">
        <f t="shared" si="0"/>
        <v>#DIV/0!</v>
      </c>
      <c r="F86" s="816">
        <v>14.6</v>
      </c>
      <c r="G86" s="562">
        <f t="shared" si="19"/>
        <v>0</v>
      </c>
      <c r="H86" s="563">
        <f t="shared" si="11"/>
        <v>2.1</v>
      </c>
      <c r="I86" s="563" t="e">
        <f t="shared" si="12"/>
        <v>#DIV/0!</v>
      </c>
      <c r="J86" s="796">
        <v>0</v>
      </c>
      <c r="K86" s="817" t="s">
        <v>202</v>
      </c>
      <c r="L86" s="560">
        <f t="shared" ref="L86:L90" si="38">AV86</f>
        <v>99.45</v>
      </c>
      <c r="M86" s="560" t="e">
        <f t="shared" ref="M86:M89" si="39">AR86*78/100*85/100</f>
        <v>#DIV/0!</v>
      </c>
      <c r="N86" s="818">
        <v>93</v>
      </c>
      <c r="O86" s="556">
        <v>100</v>
      </c>
      <c r="P86" s="560" t="e">
        <f t="shared" si="37"/>
        <v>#DIV/0!</v>
      </c>
      <c r="Q86" s="557">
        <f t="shared" ref="Q86:Q90" si="40">(K86-AS86)/6.25</f>
        <v>-24</v>
      </c>
      <c r="R86" s="559" t="e">
        <f t="shared" ref="R86:R90" si="41">(K86-AR86)/6.25</f>
        <v>#DIV/0!</v>
      </c>
      <c r="S86" s="556">
        <f t="shared" si="13"/>
        <v>0</v>
      </c>
      <c r="T86" s="819">
        <v>0</v>
      </c>
      <c r="U86" s="819">
        <v>0</v>
      </c>
      <c r="V86" s="819">
        <v>0</v>
      </c>
      <c r="W86" s="819">
        <v>937</v>
      </c>
      <c r="X86" s="819">
        <v>0</v>
      </c>
      <c r="Y86" s="819">
        <v>0</v>
      </c>
      <c r="Z86" s="819">
        <v>0</v>
      </c>
      <c r="AA86" s="820">
        <v>0</v>
      </c>
      <c r="AB86" s="796">
        <v>100</v>
      </c>
      <c r="AC86" s="820">
        <v>0</v>
      </c>
      <c r="AD86" s="820">
        <v>0</v>
      </c>
      <c r="AE86" s="819">
        <v>0</v>
      </c>
      <c r="AF86" s="819">
        <v>3.5</v>
      </c>
      <c r="AG86" s="816" t="e">
        <f t="shared" ref="AG86:AG90" si="42">(2.2357+1.2429*B$6)</f>
        <v>#DIV/0!</v>
      </c>
      <c r="AH86" s="796">
        <v>93</v>
      </c>
      <c r="AI86" s="557">
        <v>0</v>
      </c>
      <c r="AJ86" s="821">
        <v>0</v>
      </c>
      <c r="AK86" s="821">
        <v>0</v>
      </c>
      <c r="AL86" s="821">
        <v>25</v>
      </c>
      <c r="AM86" s="821">
        <v>25</v>
      </c>
      <c r="AN86" s="822">
        <v>0</v>
      </c>
      <c r="AO86" s="823">
        <v>1727</v>
      </c>
      <c r="AP86" s="549">
        <v>0</v>
      </c>
      <c r="AQ86" s="536"/>
      <c r="AR86" s="870" t="e">
        <f t="shared" ref="AR86:AR122" si="43">(IF($B$6&lt;3.4,150,IF(-11+47.1*$B$6&lt;180,-11+47.1*$B$6,180)))*((1000-J86)*P86/100)/1000</f>
        <v>#DIV/0!</v>
      </c>
      <c r="AS86" s="541">
        <f t="shared" ref="AS86:AS122" si="44">150*((1000-J86)*O86/100)/1000</f>
        <v>150</v>
      </c>
      <c r="AT86" s="542" t="e">
        <f t="shared" ref="AT86:AT122" si="45">K86*((AB86+((AC86*(AD86/100))/((AD86/100)+(AG86/100)))*EXP(-(AG86/100)*AE86))/100)</f>
        <v>#DIV/0!</v>
      </c>
      <c r="AU86" s="543">
        <v>0</v>
      </c>
      <c r="AV86" s="536">
        <f t="shared" si="15"/>
        <v>99.45</v>
      </c>
      <c r="AW86" s="536" t="e">
        <f t="shared" ref="AW86:AW122" si="46">K86*((AB86+((AC86*(AD86/100))/((AD86/100)+(AP86/100)))*EXP(-(AP86/100)*AE86))/100)</f>
        <v>#DIV/0!</v>
      </c>
      <c r="AX86" s="544" t="e">
        <f t="shared" ref="AX86:AX117" si="47">(K86-AW86)*AH86/100</f>
        <v>#DIV/0!</v>
      </c>
      <c r="XAO86" s="832"/>
      <c r="XAP86" s="832"/>
      <c r="XAQ86" s="832"/>
      <c r="XAR86" s="832"/>
      <c r="XAS86" s="832"/>
      <c r="XAT86" s="832"/>
      <c r="XAU86" s="832"/>
    </row>
    <row r="87" spans="1:50 16265:16271" ht="17.25" customHeight="1" x14ac:dyDescent="0.25">
      <c r="A87" s="813"/>
      <c r="B87" s="814" t="s">
        <v>199</v>
      </c>
      <c r="C87" s="815">
        <v>990</v>
      </c>
      <c r="D87" s="564">
        <v>12.2</v>
      </c>
      <c r="E87" s="565">
        <v>10.199999999999999</v>
      </c>
      <c r="F87" s="816">
        <v>17.5</v>
      </c>
      <c r="G87" s="562">
        <f t="shared" si="19"/>
        <v>0</v>
      </c>
      <c r="H87" s="563">
        <f t="shared" si="11"/>
        <v>1.988</v>
      </c>
      <c r="I87" s="563" t="e">
        <f t="shared" si="12"/>
        <v>#DIV/0!</v>
      </c>
      <c r="J87" s="796">
        <v>0</v>
      </c>
      <c r="K87" s="817" t="s">
        <v>202</v>
      </c>
      <c r="L87" s="560">
        <f t="shared" si="38"/>
        <v>91.494</v>
      </c>
      <c r="M87" s="560" t="e">
        <f t="shared" si="39"/>
        <v>#DIV/0!</v>
      </c>
      <c r="N87" s="818">
        <v>91</v>
      </c>
      <c r="O87" s="556">
        <v>92</v>
      </c>
      <c r="P87" s="560" t="e">
        <f t="shared" si="37"/>
        <v>#DIV/0!</v>
      </c>
      <c r="Q87" s="557">
        <f t="shared" si="40"/>
        <v>-22.08</v>
      </c>
      <c r="R87" s="559" t="e">
        <f t="shared" si="41"/>
        <v>#DIV/0!</v>
      </c>
      <c r="S87" s="556">
        <f t="shared" si="13"/>
        <v>0</v>
      </c>
      <c r="T87" s="819">
        <v>0</v>
      </c>
      <c r="U87" s="819">
        <v>0</v>
      </c>
      <c r="V87" s="819">
        <v>0</v>
      </c>
      <c r="W87" s="819">
        <v>1000</v>
      </c>
      <c r="X87" s="819">
        <v>0</v>
      </c>
      <c r="Y87" s="819">
        <v>0</v>
      </c>
      <c r="Z87" s="819">
        <v>0</v>
      </c>
      <c r="AA87" s="820">
        <v>0</v>
      </c>
      <c r="AB87" s="796">
        <v>100</v>
      </c>
      <c r="AC87" s="820">
        <v>0</v>
      </c>
      <c r="AD87" s="820">
        <v>0</v>
      </c>
      <c r="AE87" s="819">
        <v>0</v>
      </c>
      <c r="AF87" s="819">
        <v>3.5</v>
      </c>
      <c r="AG87" s="816" t="e">
        <f t="shared" si="42"/>
        <v>#DIV/0!</v>
      </c>
      <c r="AH87" s="796">
        <v>91</v>
      </c>
      <c r="AI87" s="557">
        <v>0</v>
      </c>
      <c r="AJ87" s="821">
        <v>0</v>
      </c>
      <c r="AK87" s="821">
        <v>0</v>
      </c>
      <c r="AL87" s="821">
        <v>0</v>
      </c>
      <c r="AM87" s="821">
        <v>0</v>
      </c>
      <c r="AN87" s="822">
        <v>0</v>
      </c>
      <c r="AO87" s="823">
        <v>0</v>
      </c>
      <c r="AP87" s="549">
        <v>0</v>
      </c>
      <c r="AR87" s="870" t="e">
        <f t="shared" si="43"/>
        <v>#DIV/0!</v>
      </c>
      <c r="AS87" s="541">
        <f t="shared" si="44"/>
        <v>138</v>
      </c>
      <c r="AT87" s="542" t="e">
        <f t="shared" si="45"/>
        <v>#DIV/0!</v>
      </c>
      <c r="AU87" s="543">
        <v>0</v>
      </c>
      <c r="AV87" s="536">
        <f t="shared" si="15"/>
        <v>91.494</v>
      </c>
      <c r="AW87" s="536" t="e">
        <f t="shared" si="46"/>
        <v>#DIV/0!</v>
      </c>
      <c r="AX87" s="544" t="e">
        <f t="shared" si="47"/>
        <v>#DIV/0!</v>
      </c>
    </row>
    <row r="88" spans="1:50 16265:16271" ht="17.25" customHeight="1" x14ac:dyDescent="0.25">
      <c r="A88" s="813"/>
      <c r="B88" s="814" t="s">
        <v>213</v>
      </c>
      <c r="C88" s="815">
        <v>940</v>
      </c>
      <c r="D88" s="564">
        <v>0</v>
      </c>
      <c r="E88" s="565">
        <v>0</v>
      </c>
      <c r="F88" s="816">
        <v>0</v>
      </c>
      <c r="G88" s="562">
        <v>0</v>
      </c>
      <c r="H88" s="563">
        <f t="shared" si="11"/>
        <v>1.1000000000000001</v>
      </c>
      <c r="I88" s="563" t="e">
        <f t="shared" si="12"/>
        <v>#DIV/0!</v>
      </c>
      <c r="J88" s="796">
        <v>1000</v>
      </c>
      <c r="K88" s="817" t="s">
        <v>202</v>
      </c>
      <c r="L88" s="560">
        <f t="shared" si="38"/>
        <v>0</v>
      </c>
      <c r="M88" s="560" t="e">
        <f t="shared" si="39"/>
        <v>#DIV/0!</v>
      </c>
      <c r="N88" s="818">
        <v>0</v>
      </c>
      <c r="O88" s="556">
        <v>0</v>
      </c>
      <c r="P88" s="560" t="e">
        <f t="shared" si="37"/>
        <v>#DIV/0!</v>
      </c>
      <c r="Q88" s="557">
        <f t="shared" si="40"/>
        <v>0</v>
      </c>
      <c r="R88" s="559" t="e">
        <f t="shared" si="41"/>
        <v>#DIV/0!</v>
      </c>
      <c r="S88" s="556">
        <f t="shared" si="13"/>
        <v>0</v>
      </c>
      <c r="T88" s="819">
        <v>0</v>
      </c>
      <c r="U88" s="819">
        <v>0</v>
      </c>
      <c r="V88" s="819">
        <v>0</v>
      </c>
      <c r="W88" s="819">
        <v>0</v>
      </c>
      <c r="X88" s="819">
        <v>0</v>
      </c>
      <c r="Y88" s="819">
        <v>0</v>
      </c>
      <c r="Z88" s="819">
        <v>0</v>
      </c>
      <c r="AA88" s="819">
        <v>0</v>
      </c>
      <c r="AB88" s="796">
        <v>100</v>
      </c>
      <c r="AC88" s="820">
        <v>0</v>
      </c>
      <c r="AD88" s="820">
        <v>0</v>
      </c>
      <c r="AE88" s="819">
        <v>0</v>
      </c>
      <c r="AF88" s="819">
        <v>3.5</v>
      </c>
      <c r="AG88" s="816" t="e">
        <f t="shared" si="42"/>
        <v>#DIV/0!</v>
      </c>
      <c r="AH88" s="796">
        <v>99</v>
      </c>
      <c r="AI88" s="796">
        <v>0</v>
      </c>
      <c r="AJ88" s="819">
        <v>0</v>
      </c>
      <c r="AK88" s="819">
        <v>0</v>
      </c>
      <c r="AL88" s="819">
        <v>354</v>
      </c>
      <c r="AM88" s="819">
        <v>32</v>
      </c>
      <c r="AN88" s="822">
        <v>0</v>
      </c>
      <c r="AO88" s="823">
        <v>0</v>
      </c>
      <c r="AP88" s="549">
        <v>0</v>
      </c>
      <c r="AR88" s="870" t="e">
        <f t="shared" si="43"/>
        <v>#DIV/0!</v>
      </c>
      <c r="AS88" s="541">
        <f t="shared" si="44"/>
        <v>0</v>
      </c>
      <c r="AT88" s="542" t="e">
        <f t="shared" si="45"/>
        <v>#DIV/0!</v>
      </c>
      <c r="AU88" s="543">
        <v>0</v>
      </c>
      <c r="AV88" s="536">
        <f t="shared" si="15"/>
        <v>0</v>
      </c>
      <c r="AW88" s="536" t="e">
        <f t="shared" si="46"/>
        <v>#DIV/0!</v>
      </c>
      <c r="AX88" s="544" t="e">
        <f t="shared" si="47"/>
        <v>#DIV/0!</v>
      </c>
    </row>
    <row r="89" spans="1:50 16265:16271" ht="17.25" customHeight="1" x14ac:dyDescent="0.25">
      <c r="A89" s="813"/>
      <c r="B89" s="814" t="s">
        <v>215</v>
      </c>
      <c r="C89" s="815">
        <v>960</v>
      </c>
      <c r="D89" s="564">
        <v>0</v>
      </c>
      <c r="E89" s="565">
        <v>0</v>
      </c>
      <c r="F89" s="816">
        <v>0</v>
      </c>
      <c r="G89" s="562">
        <v>0</v>
      </c>
      <c r="H89" s="563">
        <f t="shared" si="11"/>
        <v>1.1000000000000001</v>
      </c>
      <c r="I89" s="563" t="e">
        <f t="shared" si="12"/>
        <v>#DIV/0!</v>
      </c>
      <c r="J89" s="796">
        <v>1000</v>
      </c>
      <c r="K89" s="817" t="s">
        <v>202</v>
      </c>
      <c r="L89" s="560">
        <f t="shared" si="38"/>
        <v>0</v>
      </c>
      <c r="M89" s="560" t="e">
        <f t="shared" si="39"/>
        <v>#DIV/0!</v>
      </c>
      <c r="N89" s="818">
        <v>0</v>
      </c>
      <c r="O89" s="556">
        <v>0</v>
      </c>
      <c r="P89" s="560" t="e">
        <f t="shared" si="37"/>
        <v>#DIV/0!</v>
      </c>
      <c r="Q89" s="557">
        <f t="shared" si="40"/>
        <v>0</v>
      </c>
      <c r="R89" s="559" t="e">
        <f t="shared" si="41"/>
        <v>#DIV/0!</v>
      </c>
      <c r="S89" s="556">
        <f t="shared" si="13"/>
        <v>0</v>
      </c>
      <c r="T89" s="819">
        <v>0</v>
      </c>
      <c r="U89" s="819">
        <v>0</v>
      </c>
      <c r="V89" s="819">
        <v>0</v>
      </c>
      <c r="W89" s="819">
        <v>0</v>
      </c>
      <c r="X89" s="819">
        <v>0</v>
      </c>
      <c r="Y89" s="819">
        <v>0</v>
      </c>
      <c r="Z89" s="819">
        <v>0</v>
      </c>
      <c r="AA89" s="819">
        <v>0</v>
      </c>
      <c r="AB89" s="796">
        <v>100</v>
      </c>
      <c r="AC89" s="820">
        <v>0</v>
      </c>
      <c r="AD89" s="820">
        <v>0</v>
      </c>
      <c r="AE89" s="819">
        <v>0</v>
      </c>
      <c r="AF89" s="819">
        <v>3.5</v>
      </c>
      <c r="AG89" s="816" t="e">
        <f t="shared" si="42"/>
        <v>#DIV/0!</v>
      </c>
      <c r="AH89" s="796">
        <v>99</v>
      </c>
      <c r="AI89" s="796">
        <v>381</v>
      </c>
      <c r="AJ89" s="819">
        <v>0.4</v>
      </c>
      <c r="AK89" s="819">
        <v>1.6</v>
      </c>
      <c r="AL89" s="819">
        <v>0</v>
      </c>
      <c r="AM89" s="819">
        <v>0</v>
      </c>
      <c r="AN89" s="822">
        <v>0</v>
      </c>
      <c r="AO89" s="823">
        <v>0</v>
      </c>
      <c r="AP89" s="549">
        <v>0</v>
      </c>
      <c r="AR89" s="870" t="e">
        <f t="shared" si="43"/>
        <v>#DIV/0!</v>
      </c>
      <c r="AS89" s="541">
        <f t="shared" si="44"/>
        <v>0</v>
      </c>
      <c r="AT89" s="542" t="e">
        <f t="shared" si="45"/>
        <v>#DIV/0!</v>
      </c>
      <c r="AU89" s="543">
        <v>0</v>
      </c>
      <c r="AV89" s="536">
        <f t="shared" si="15"/>
        <v>0</v>
      </c>
      <c r="AW89" s="536" t="e">
        <f t="shared" si="46"/>
        <v>#DIV/0!</v>
      </c>
      <c r="AX89" s="544" t="e">
        <f t="shared" si="47"/>
        <v>#DIV/0!</v>
      </c>
    </row>
    <row r="90" spans="1:50 16265:16271" ht="17.25" customHeight="1" x14ac:dyDescent="0.25">
      <c r="A90" s="813"/>
      <c r="B90" s="814" t="s">
        <v>297</v>
      </c>
      <c r="C90" s="815">
        <v>990</v>
      </c>
      <c r="D90" s="564">
        <v>0.33</v>
      </c>
      <c r="E90" s="565" t="e">
        <f t="shared" si="0"/>
        <v>#DIV/0!</v>
      </c>
      <c r="F90" s="816">
        <v>0.56999999999999995</v>
      </c>
      <c r="G90" s="562">
        <f t="shared" si="19"/>
        <v>0</v>
      </c>
      <c r="H90" s="563">
        <f t="shared" si="11"/>
        <v>1.68</v>
      </c>
      <c r="I90" s="563" t="e">
        <f t="shared" si="12"/>
        <v>#DIV/0!</v>
      </c>
      <c r="J90" s="796">
        <v>970</v>
      </c>
      <c r="K90" s="817" t="s">
        <v>202</v>
      </c>
      <c r="L90" s="560">
        <f t="shared" si="38"/>
        <v>2.0884499999999999</v>
      </c>
      <c r="M90" s="560" t="e">
        <f>AR90*78/100*85/100</f>
        <v>#DIV/0!</v>
      </c>
      <c r="N90" s="818">
        <v>2.4900000000000002</v>
      </c>
      <c r="O90" s="556">
        <v>70</v>
      </c>
      <c r="P90" s="560" t="e">
        <f t="shared" si="37"/>
        <v>#DIV/0!</v>
      </c>
      <c r="Q90" s="557">
        <f t="shared" si="40"/>
        <v>-0.504</v>
      </c>
      <c r="R90" s="559" t="e">
        <f t="shared" si="41"/>
        <v>#DIV/0!</v>
      </c>
      <c r="S90" s="556">
        <f t="shared" si="13"/>
        <v>0</v>
      </c>
      <c r="T90" s="819">
        <v>0</v>
      </c>
      <c r="U90" s="819">
        <v>0</v>
      </c>
      <c r="V90" s="819">
        <v>0</v>
      </c>
      <c r="W90" s="819">
        <v>0</v>
      </c>
      <c r="X90" s="819">
        <v>0</v>
      </c>
      <c r="Y90" s="819">
        <v>0</v>
      </c>
      <c r="Z90" s="819">
        <v>0</v>
      </c>
      <c r="AA90" s="819">
        <v>0</v>
      </c>
      <c r="AB90" s="796">
        <v>100</v>
      </c>
      <c r="AC90" s="820">
        <v>0</v>
      </c>
      <c r="AD90" s="820">
        <v>0</v>
      </c>
      <c r="AE90" s="819">
        <v>0</v>
      </c>
      <c r="AF90" s="819">
        <v>3.5</v>
      </c>
      <c r="AG90" s="816" t="e">
        <f t="shared" si="42"/>
        <v>#DIV/0!</v>
      </c>
      <c r="AH90" s="796">
        <v>99</v>
      </c>
      <c r="AI90" s="796">
        <v>250</v>
      </c>
      <c r="AJ90" s="819">
        <v>0</v>
      </c>
      <c r="AK90" s="819">
        <v>20</v>
      </c>
      <c r="AL90" s="819">
        <v>80</v>
      </c>
      <c r="AM90" s="819">
        <v>100</v>
      </c>
      <c r="AN90" s="822">
        <v>25</v>
      </c>
      <c r="AO90" s="823">
        <v>-50</v>
      </c>
      <c r="AP90" s="549">
        <v>0</v>
      </c>
      <c r="AR90" s="870" t="e">
        <f t="shared" si="43"/>
        <v>#DIV/0!</v>
      </c>
      <c r="AS90" s="541">
        <f t="shared" si="44"/>
        <v>3.15</v>
      </c>
      <c r="AT90" s="542" t="e">
        <f t="shared" si="45"/>
        <v>#DIV/0!</v>
      </c>
      <c r="AU90" s="543">
        <v>0</v>
      </c>
      <c r="AV90" s="536">
        <f t="shared" si="15"/>
        <v>2.0884499999999999</v>
      </c>
      <c r="AW90" s="536" t="e">
        <f t="shared" si="46"/>
        <v>#DIV/0!</v>
      </c>
      <c r="AX90" s="544" t="e">
        <f t="shared" si="47"/>
        <v>#DIV/0!</v>
      </c>
    </row>
    <row r="91" spans="1:50 16265:16271" s="552" customFormat="1" ht="22.5" customHeight="1" x14ac:dyDescent="0.25">
      <c r="A91" s="800" t="s">
        <v>268</v>
      </c>
      <c r="B91" s="824"/>
      <c r="C91" s="802"/>
      <c r="D91" s="803"/>
      <c r="E91" s="802"/>
      <c r="F91" s="802"/>
      <c r="G91" s="803"/>
      <c r="H91" s="561"/>
      <c r="I91" s="561"/>
      <c r="J91" s="803"/>
      <c r="K91" s="802"/>
      <c r="L91" s="802"/>
      <c r="M91" s="802"/>
      <c r="N91" s="802"/>
      <c r="O91" s="803"/>
      <c r="P91" s="802"/>
      <c r="Q91" s="803"/>
      <c r="R91" s="802"/>
      <c r="S91" s="802"/>
      <c r="T91" s="802"/>
      <c r="U91" s="802"/>
      <c r="V91" s="802"/>
      <c r="W91" s="825"/>
      <c r="X91" s="825"/>
      <c r="Y91" s="825"/>
      <c r="Z91" s="825"/>
      <c r="AA91" s="825"/>
      <c r="AB91" s="826"/>
      <c r="AC91" s="825"/>
      <c r="AD91" s="825"/>
      <c r="AE91" s="825"/>
      <c r="AF91" s="825"/>
      <c r="AG91" s="825"/>
      <c r="AH91" s="826"/>
      <c r="AI91" s="803"/>
      <c r="AJ91" s="802"/>
      <c r="AK91" s="802"/>
      <c r="AL91" s="802"/>
      <c r="AM91" s="802"/>
      <c r="AN91" s="804"/>
      <c r="AO91" s="827"/>
      <c r="AQ91" s="806"/>
      <c r="AR91" s="870" t="e">
        <f t="shared" si="43"/>
        <v>#DIV/0!</v>
      </c>
      <c r="AS91" s="541">
        <f t="shared" si="44"/>
        <v>0</v>
      </c>
      <c r="AT91" s="542" t="e">
        <f t="shared" si="45"/>
        <v>#DIV/0!</v>
      </c>
      <c r="AU91" s="546"/>
      <c r="AV91" s="536">
        <f t="shared" si="15"/>
        <v>0</v>
      </c>
      <c r="AW91" s="536" t="e">
        <f t="shared" si="46"/>
        <v>#DIV/0!</v>
      </c>
      <c r="AX91" s="544" t="e">
        <f t="shared" si="47"/>
        <v>#DIV/0!</v>
      </c>
      <c r="XAO91" s="828"/>
      <c r="XAP91" s="828"/>
      <c r="XAQ91" s="828"/>
      <c r="XAR91" s="828"/>
      <c r="XAS91" s="828"/>
      <c r="XAT91" s="828"/>
      <c r="XAU91" s="828"/>
    </row>
    <row r="92" spans="1:50 16265:16271" ht="17.25" customHeight="1" x14ac:dyDescent="0.25">
      <c r="A92" s="794" t="s">
        <v>123</v>
      </c>
      <c r="B92" s="526"/>
      <c r="C92" s="526"/>
      <c r="D92" s="564">
        <f>(F92*((O92-3.3)/100))-G92-H92</f>
        <v>-1.1000000000000001</v>
      </c>
      <c r="E92" s="565" t="e">
        <f>(F92/(1-(J92/1000))*((P92-3.3)/100)-G92-I92)*(1-(J92/1000))</f>
        <v>#DIV/0!</v>
      </c>
      <c r="F92" s="558"/>
      <c r="G92" s="562">
        <f>K92*0.0037/(1-(J92/1000))</f>
        <v>0</v>
      </c>
      <c r="H92" s="563">
        <f t="shared" si="11"/>
        <v>1.1000000000000001</v>
      </c>
      <c r="I92" s="563" t="e">
        <f t="shared" si="12"/>
        <v>#DIV/0!</v>
      </c>
      <c r="J92" s="554"/>
      <c r="K92" s="560"/>
      <c r="L92" s="560">
        <f>AV92+AX92</f>
        <v>0</v>
      </c>
      <c r="M92" s="560" t="e">
        <f t="shared" ref="M92:M122" si="48" xml:space="preserve">
AR92*0.663
+
(
(
K92
*
(1-(AB92+((AC92*(AD92/100))/((AD92/100)+(AG92/100)))*EXP(-(AG92/100)*AE92))/100))*(AH92/100))</f>
        <v>#DIV/0!</v>
      </c>
      <c r="N92" s="818"/>
      <c r="O92" s="572"/>
      <c r="P92" s="560" t="e">
        <f t="shared" si="37"/>
        <v>#DIV/0!</v>
      </c>
      <c r="Q92" s="557">
        <f t="shared" si="4"/>
        <v>0</v>
      </c>
      <c r="R92" s="559" t="e">
        <f t="shared" si="33"/>
        <v>#DIV/0!</v>
      </c>
      <c r="S92" s="556">
        <f t="shared" si="13"/>
        <v>0</v>
      </c>
      <c r="T92" s="531"/>
      <c r="U92" s="531"/>
      <c r="V92" s="531"/>
      <c r="W92" s="531"/>
      <c r="X92" s="531"/>
      <c r="Y92" s="531"/>
      <c r="Z92" s="531"/>
      <c r="AA92" s="531"/>
      <c r="AB92" s="529"/>
      <c r="AC92" s="532"/>
      <c r="AD92" s="532"/>
      <c r="AE92" s="531"/>
      <c r="AF92" s="531">
        <v>2.6</v>
      </c>
      <c r="AG92" s="565" t="e">
        <f t="shared" ref="AG92:AG102" si="49">(1.7286+0.8857*$B$6)</f>
        <v>#DIV/0!</v>
      </c>
      <c r="AH92" s="529"/>
      <c r="AI92" s="529"/>
      <c r="AJ92" s="531"/>
      <c r="AK92" s="531"/>
      <c r="AL92" s="531"/>
      <c r="AM92" s="531"/>
      <c r="AN92" s="533"/>
      <c r="AO92" s="534"/>
      <c r="AP92" s="549">
        <v>2.6</v>
      </c>
      <c r="AR92" s="870" t="e">
        <f t="shared" si="43"/>
        <v>#DIV/0!</v>
      </c>
      <c r="AS92" s="541">
        <f t="shared" si="44"/>
        <v>0</v>
      </c>
      <c r="AT92" s="542" t="e">
        <f t="shared" si="45"/>
        <v>#DIV/0!</v>
      </c>
      <c r="AU92" s="547" t="e">
        <f>(1.7286+0.8857*$B$6)/100</f>
        <v>#DIV/0!</v>
      </c>
      <c r="AV92" s="536">
        <f t="shared" si="15"/>
        <v>0</v>
      </c>
      <c r="AW92" s="536">
        <f t="shared" si="46"/>
        <v>0</v>
      </c>
      <c r="AX92" s="544">
        <f t="shared" si="47"/>
        <v>0</v>
      </c>
    </row>
    <row r="93" spans="1:50 16265:16271" ht="17.25" customHeight="1" x14ac:dyDescent="0.25">
      <c r="A93" s="794" t="s">
        <v>123</v>
      </c>
      <c r="B93" s="526"/>
      <c r="C93" s="526"/>
      <c r="D93" s="564">
        <f>(F93*((O93-3.3)/100))-G93-H93</f>
        <v>-1.1000000000000001</v>
      </c>
      <c r="E93" s="565" t="e">
        <f>(F93/(1-(J93/1000))*((P93-3.3)/100)-G93-I93)*(1-(J93/1000))</f>
        <v>#DIV/0!</v>
      </c>
      <c r="F93" s="558"/>
      <c r="G93" s="562">
        <f>K93*0.0037/(1-(J93/1000))</f>
        <v>0</v>
      </c>
      <c r="H93" s="563">
        <f t="shared" si="11"/>
        <v>1.1000000000000001</v>
      </c>
      <c r="I93" s="563" t="e">
        <f t="shared" si="12"/>
        <v>#DIV/0!</v>
      </c>
      <c r="J93" s="554"/>
      <c r="K93" s="560"/>
      <c r="L93" s="560">
        <f>AV93+AX93</f>
        <v>0</v>
      </c>
      <c r="M93" s="560" t="e">
        <f t="shared" si="48"/>
        <v>#DIV/0!</v>
      </c>
      <c r="N93" s="818"/>
      <c r="O93" s="554"/>
      <c r="P93" s="560" t="e">
        <f>O93-(1.5+0.05*(O93-65))*(B$6-1)</f>
        <v>#DIV/0!</v>
      </c>
      <c r="Q93" s="557">
        <f>(AW93-AS93)/6.25</f>
        <v>0</v>
      </c>
      <c r="R93" s="559" t="e">
        <f t="shared" ref="R93" si="50">(AT93-AR93)/6.25</f>
        <v>#DIV/0!</v>
      </c>
      <c r="S93" s="554">
        <f>U93+V93-T93</f>
        <v>0</v>
      </c>
      <c r="T93" s="560"/>
      <c r="U93" s="560"/>
      <c r="V93" s="560"/>
      <c r="W93" s="560"/>
      <c r="X93" s="560"/>
      <c r="Y93" s="560"/>
      <c r="Z93" s="560"/>
      <c r="AA93" s="560"/>
      <c r="AB93" s="554"/>
      <c r="AC93" s="558"/>
      <c r="AD93" s="560"/>
      <c r="AE93" s="560"/>
      <c r="AF93" s="531">
        <v>2.6</v>
      </c>
      <c r="AG93" s="565" t="e">
        <f>(1.7286+0.8857*$B$6)</f>
        <v>#DIV/0!</v>
      </c>
      <c r="AH93" s="554"/>
      <c r="AI93" s="797"/>
      <c r="AJ93" s="565"/>
      <c r="AK93" s="565"/>
      <c r="AL93" s="565"/>
      <c r="AM93" s="565"/>
      <c r="AN93" s="798"/>
      <c r="AO93" s="799"/>
      <c r="AP93" s="549">
        <v>2.6</v>
      </c>
      <c r="AR93" s="870" t="e">
        <f t="shared" si="43"/>
        <v>#DIV/0!</v>
      </c>
      <c r="AS93" s="541">
        <f t="shared" si="44"/>
        <v>0</v>
      </c>
      <c r="AT93" s="542" t="e">
        <f t="shared" si="45"/>
        <v>#DIV/0!</v>
      </c>
      <c r="AU93" s="547" t="e">
        <f t="shared" ref="AU93:AU102" si="51">(1.7286+0.8857*$B$6)/100</f>
        <v>#DIV/0!</v>
      </c>
      <c r="AV93" s="536">
        <f t="shared" si="15"/>
        <v>0</v>
      </c>
      <c r="AW93" s="536">
        <f t="shared" si="46"/>
        <v>0</v>
      </c>
      <c r="AX93" s="544">
        <f t="shared" si="47"/>
        <v>0</v>
      </c>
    </row>
    <row r="94" spans="1:50 16265:16271" ht="17.25" customHeight="1" x14ac:dyDescent="0.25">
      <c r="A94" s="794" t="s">
        <v>123</v>
      </c>
      <c r="B94" s="526"/>
      <c r="C94" s="526"/>
      <c r="D94" s="564">
        <f t="shared" si="10"/>
        <v>-1.1000000000000001</v>
      </c>
      <c r="E94" s="565" t="e">
        <f t="shared" si="0"/>
        <v>#DIV/0!</v>
      </c>
      <c r="F94" s="528"/>
      <c r="G94" s="562">
        <f t="shared" si="19"/>
        <v>0</v>
      </c>
      <c r="H94" s="563">
        <f t="shared" si="11"/>
        <v>1.1000000000000001</v>
      </c>
      <c r="I94" s="563" t="e">
        <f t="shared" si="12"/>
        <v>#DIV/0!</v>
      </c>
      <c r="J94" s="529"/>
      <c r="K94" s="530"/>
      <c r="L94" s="560">
        <f t="shared" ref="L94:L122" si="52">AV94+AX94</f>
        <v>0</v>
      </c>
      <c r="M94" s="560" t="e">
        <f t="shared" si="48"/>
        <v>#DIV/0!</v>
      </c>
      <c r="N94" s="818"/>
      <c r="O94" s="572"/>
      <c r="P94" s="560" t="e">
        <f t="shared" si="37"/>
        <v>#DIV/0!</v>
      </c>
      <c r="Q94" s="557">
        <f t="shared" si="4"/>
        <v>0</v>
      </c>
      <c r="R94" s="559" t="e">
        <f t="shared" si="33"/>
        <v>#DIV/0!</v>
      </c>
      <c r="S94" s="556">
        <f t="shared" si="13"/>
        <v>0</v>
      </c>
      <c r="T94" s="531"/>
      <c r="U94" s="531"/>
      <c r="V94" s="531"/>
      <c r="W94" s="531"/>
      <c r="X94" s="531"/>
      <c r="Y94" s="531"/>
      <c r="Z94" s="531"/>
      <c r="AA94" s="531"/>
      <c r="AB94" s="529"/>
      <c r="AC94" s="532"/>
      <c r="AD94" s="532"/>
      <c r="AE94" s="531"/>
      <c r="AF94" s="531">
        <v>2.6</v>
      </c>
      <c r="AG94" s="565" t="e">
        <f t="shared" si="49"/>
        <v>#DIV/0!</v>
      </c>
      <c r="AH94" s="529"/>
      <c r="AI94" s="529"/>
      <c r="AJ94" s="531"/>
      <c r="AK94" s="531"/>
      <c r="AL94" s="531"/>
      <c r="AM94" s="531"/>
      <c r="AN94" s="533"/>
      <c r="AO94" s="534"/>
      <c r="AP94" s="549">
        <v>2.6</v>
      </c>
      <c r="AR94" s="870" t="e">
        <f t="shared" si="43"/>
        <v>#DIV/0!</v>
      </c>
      <c r="AS94" s="541">
        <f t="shared" si="44"/>
        <v>0</v>
      </c>
      <c r="AT94" s="542" t="e">
        <f t="shared" si="45"/>
        <v>#DIV/0!</v>
      </c>
      <c r="AU94" s="547" t="e">
        <f t="shared" si="51"/>
        <v>#DIV/0!</v>
      </c>
      <c r="AV94" s="536">
        <f t="shared" si="15"/>
        <v>0</v>
      </c>
      <c r="AW94" s="536">
        <f t="shared" si="46"/>
        <v>0</v>
      </c>
      <c r="AX94" s="544">
        <f t="shared" si="47"/>
        <v>0</v>
      </c>
    </row>
    <row r="95" spans="1:50 16265:16271" ht="17.25" customHeight="1" x14ac:dyDescent="0.25">
      <c r="A95" s="794" t="s">
        <v>123</v>
      </c>
      <c r="B95" s="526"/>
      <c r="C95" s="526"/>
      <c r="D95" s="564">
        <f t="shared" si="10"/>
        <v>-1.1000000000000001</v>
      </c>
      <c r="E95" s="565" t="e">
        <f t="shared" si="0"/>
        <v>#DIV/0!</v>
      </c>
      <c r="F95" s="528"/>
      <c r="G95" s="562">
        <f t="shared" si="19"/>
        <v>0</v>
      </c>
      <c r="H95" s="563">
        <f t="shared" si="11"/>
        <v>1.1000000000000001</v>
      </c>
      <c r="I95" s="563" t="e">
        <f t="shared" si="12"/>
        <v>#DIV/0!</v>
      </c>
      <c r="J95" s="529"/>
      <c r="K95" s="530"/>
      <c r="L95" s="560">
        <f t="shared" si="52"/>
        <v>0</v>
      </c>
      <c r="M95" s="560" t="e">
        <f t="shared" si="48"/>
        <v>#DIV/0!</v>
      </c>
      <c r="N95" s="818"/>
      <c r="O95" s="572"/>
      <c r="P95" s="560" t="e">
        <f t="shared" si="37"/>
        <v>#DIV/0!</v>
      </c>
      <c r="Q95" s="557">
        <f t="shared" si="4"/>
        <v>0</v>
      </c>
      <c r="R95" s="559" t="e">
        <f t="shared" si="33"/>
        <v>#DIV/0!</v>
      </c>
      <c r="S95" s="556">
        <f t="shared" si="13"/>
        <v>0</v>
      </c>
      <c r="T95" s="531"/>
      <c r="U95" s="531"/>
      <c r="V95" s="531"/>
      <c r="W95" s="531"/>
      <c r="X95" s="531"/>
      <c r="Y95" s="531"/>
      <c r="Z95" s="531"/>
      <c r="AA95" s="531"/>
      <c r="AB95" s="529"/>
      <c r="AC95" s="532"/>
      <c r="AD95" s="532"/>
      <c r="AE95" s="531"/>
      <c r="AF95" s="531">
        <v>2.6</v>
      </c>
      <c r="AG95" s="565" t="e">
        <f t="shared" si="49"/>
        <v>#DIV/0!</v>
      </c>
      <c r="AH95" s="529"/>
      <c r="AI95" s="529"/>
      <c r="AJ95" s="531"/>
      <c r="AK95" s="531"/>
      <c r="AL95" s="531"/>
      <c r="AM95" s="531"/>
      <c r="AN95" s="533"/>
      <c r="AO95" s="534"/>
      <c r="AP95" s="549">
        <v>2.6</v>
      </c>
      <c r="AR95" s="870" t="e">
        <f t="shared" si="43"/>
        <v>#DIV/0!</v>
      </c>
      <c r="AS95" s="541">
        <f t="shared" si="44"/>
        <v>0</v>
      </c>
      <c r="AT95" s="542" t="e">
        <f t="shared" si="45"/>
        <v>#DIV/0!</v>
      </c>
      <c r="AU95" s="547" t="e">
        <f t="shared" si="51"/>
        <v>#DIV/0!</v>
      </c>
      <c r="AV95" s="536">
        <f t="shared" si="15"/>
        <v>0</v>
      </c>
      <c r="AW95" s="536">
        <f t="shared" si="46"/>
        <v>0</v>
      </c>
      <c r="AX95" s="544">
        <f t="shared" si="47"/>
        <v>0</v>
      </c>
    </row>
    <row r="96" spans="1:50 16265:16271" ht="17.25" customHeight="1" x14ac:dyDescent="0.25">
      <c r="A96" s="794" t="s">
        <v>123</v>
      </c>
      <c r="B96" s="526"/>
      <c r="C96" s="527"/>
      <c r="D96" s="564">
        <f t="shared" si="10"/>
        <v>-1.1000000000000001</v>
      </c>
      <c r="E96" s="565" t="e">
        <f t="shared" si="0"/>
        <v>#DIV/0!</v>
      </c>
      <c r="F96" s="528"/>
      <c r="G96" s="562">
        <f t="shared" si="19"/>
        <v>0</v>
      </c>
      <c r="H96" s="563">
        <f t="shared" si="11"/>
        <v>1.1000000000000001</v>
      </c>
      <c r="I96" s="563" t="e">
        <f t="shared" si="12"/>
        <v>#DIV/0!</v>
      </c>
      <c r="J96" s="529"/>
      <c r="K96" s="530"/>
      <c r="L96" s="560">
        <f t="shared" si="52"/>
        <v>0</v>
      </c>
      <c r="M96" s="560" t="e">
        <f t="shared" si="48"/>
        <v>#DIV/0!</v>
      </c>
      <c r="N96" s="818"/>
      <c r="O96" s="572"/>
      <c r="P96" s="560" t="e">
        <f t="shared" si="37"/>
        <v>#DIV/0!</v>
      </c>
      <c r="Q96" s="557">
        <f t="shared" si="4"/>
        <v>0</v>
      </c>
      <c r="R96" s="559" t="e">
        <f t="shared" si="33"/>
        <v>#DIV/0!</v>
      </c>
      <c r="S96" s="556">
        <f t="shared" si="13"/>
        <v>0</v>
      </c>
      <c r="T96" s="531"/>
      <c r="U96" s="531"/>
      <c r="V96" s="531"/>
      <c r="W96" s="531"/>
      <c r="X96" s="531"/>
      <c r="Y96" s="531"/>
      <c r="Z96" s="531"/>
      <c r="AA96" s="531"/>
      <c r="AB96" s="529"/>
      <c r="AC96" s="532"/>
      <c r="AD96" s="532"/>
      <c r="AE96" s="531"/>
      <c r="AF96" s="531">
        <v>2.6</v>
      </c>
      <c r="AG96" s="565" t="e">
        <f t="shared" si="49"/>
        <v>#DIV/0!</v>
      </c>
      <c r="AH96" s="529"/>
      <c r="AI96" s="529"/>
      <c r="AJ96" s="531"/>
      <c r="AK96" s="531"/>
      <c r="AL96" s="531"/>
      <c r="AM96" s="531"/>
      <c r="AN96" s="533"/>
      <c r="AO96" s="534"/>
      <c r="AP96" s="549">
        <v>2.6</v>
      </c>
      <c r="AR96" s="870" t="e">
        <f t="shared" si="43"/>
        <v>#DIV/0!</v>
      </c>
      <c r="AS96" s="541">
        <f t="shared" si="44"/>
        <v>0</v>
      </c>
      <c r="AT96" s="542" t="e">
        <f t="shared" si="45"/>
        <v>#DIV/0!</v>
      </c>
      <c r="AU96" s="547" t="e">
        <f t="shared" si="51"/>
        <v>#DIV/0!</v>
      </c>
      <c r="AV96" s="536">
        <f t="shared" si="15"/>
        <v>0</v>
      </c>
      <c r="AW96" s="536">
        <f t="shared" si="46"/>
        <v>0</v>
      </c>
      <c r="AX96" s="544">
        <f t="shared" si="47"/>
        <v>0</v>
      </c>
    </row>
    <row r="97" spans="1:50" ht="17.25" customHeight="1" x14ac:dyDescent="0.25">
      <c r="A97" s="794" t="s">
        <v>123</v>
      </c>
      <c r="B97" s="526"/>
      <c r="C97" s="527"/>
      <c r="D97" s="564">
        <f t="shared" si="10"/>
        <v>-1.1000000000000001</v>
      </c>
      <c r="E97" s="565" t="e">
        <f t="shared" si="0"/>
        <v>#DIV/0!</v>
      </c>
      <c r="F97" s="528"/>
      <c r="G97" s="562">
        <f t="shared" si="19"/>
        <v>0</v>
      </c>
      <c r="H97" s="563">
        <f t="shared" si="11"/>
        <v>1.1000000000000001</v>
      </c>
      <c r="I97" s="563" t="e">
        <f t="shared" si="12"/>
        <v>#DIV/0!</v>
      </c>
      <c r="J97" s="529"/>
      <c r="K97" s="530"/>
      <c r="L97" s="560">
        <f t="shared" si="52"/>
        <v>0</v>
      </c>
      <c r="M97" s="560" t="e">
        <f t="shared" si="48"/>
        <v>#DIV/0!</v>
      </c>
      <c r="N97" s="818"/>
      <c r="O97" s="572"/>
      <c r="P97" s="560" t="e">
        <f t="shared" si="37"/>
        <v>#DIV/0!</v>
      </c>
      <c r="Q97" s="557">
        <f t="shared" si="4"/>
        <v>0</v>
      </c>
      <c r="R97" s="559" t="e">
        <f t="shared" si="33"/>
        <v>#DIV/0!</v>
      </c>
      <c r="S97" s="556">
        <f t="shared" si="13"/>
        <v>0</v>
      </c>
      <c r="T97" s="531"/>
      <c r="U97" s="531"/>
      <c r="V97" s="531"/>
      <c r="W97" s="531"/>
      <c r="X97" s="531"/>
      <c r="Y97" s="531"/>
      <c r="Z97" s="531"/>
      <c r="AA97" s="531"/>
      <c r="AB97" s="529"/>
      <c r="AC97" s="532"/>
      <c r="AD97" s="532"/>
      <c r="AE97" s="531"/>
      <c r="AF97" s="531">
        <v>2.6</v>
      </c>
      <c r="AG97" s="565" t="e">
        <f t="shared" si="49"/>
        <v>#DIV/0!</v>
      </c>
      <c r="AH97" s="529"/>
      <c r="AI97" s="529"/>
      <c r="AJ97" s="531"/>
      <c r="AK97" s="531"/>
      <c r="AL97" s="531"/>
      <c r="AM97" s="531"/>
      <c r="AN97" s="533"/>
      <c r="AO97" s="534"/>
      <c r="AP97" s="549">
        <v>2.6</v>
      </c>
      <c r="AR97" s="870" t="e">
        <f t="shared" si="43"/>
        <v>#DIV/0!</v>
      </c>
      <c r="AS97" s="541">
        <f t="shared" si="44"/>
        <v>0</v>
      </c>
      <c r="AT97" s="542" t="e">
        <f t="shared" si="45"/>
        <v>#DIV/0!</v>
      </c>
      <c r="AU97" s="547" t="e">
        <f t="shared" si="51"/>
        <v>#DIV/0!</v>
      </c>
      <c r="AV97" s="536">
        <f t="shared" si="15"/>
        <v>0</v>
      </c>
      <c r="AW97" s="536">
        <f t="shared" si="46"/>
        <v>0</v>
      </c>
      <c r="AX97" s="544">
        <f t="shared" si="47"/>
        <v>0</v>
      </c>
    </row>
    <row r="98" spans="1:50" ht="17.25" customHeight="1" x14ac:dyDescent="0.25">
      <c r="A98" s="794" t="s">
        <v>123</v>
      </c>
      <c r="B98" s="526"/>
      <c r="C98" s="527"/>
      <c r="D98" s="564">
        <f t="shared" si="10"/>
        <v>-1.1000000000000001</v>
      </c>
      <c r="E98" s="565" t="e">
        <f t="shared" si="0"/>
        <v>#DIV/0!</v>
      </c>
      <c r="F98" s="528"/>
      <c r="G98" s="562">
        <f t="shared" si="19"/>
        <v>0</v>
      </c>
      <c r="H98" s="563">
        <f t="shared" si="11"/>
        <v>1.1000000000000001</v>
      </c>
      <c r="I98" s="563" t="e">
        <f t="shared" si="12"/>
        <v>#DIV/0!</v>
      </c>
      <c r="J98" s="529"/>
      <c r="K98" s="530"/>
      <c r="L98" s="560">
        <f t="shared" si="52"/>
        <v>0</v>
      </c>
      <c r="M98" s="560" t="e">
        <f t="shared" si="48"/>
        <v>#DIV/0!</v>
      </c>
      <c r="N98" s="818"/>
      <c r="O98" s="572"/>
      <c r="P98" s="560" t="e">
        <f t="shared" si="37"/>
        <v>#DIV/0!</v>
      </c>
      <c r="Q98" s="557">
        <f t="shared" si="4"/>
        <v>0</v>
      </c>
      <c r="R98" s="559" t="e">
        <f t="shared" si="33"/>
        <v>#DIV/0!</v>
      </c>
      <c r="S98" s="556">
        <f t="shared" si="13"/>
        <v>0</v>
      </c>
      <c r="T98" s="531"/>
      <c r="U98" s="531"/>
      <c r="V98" s="531"/>
      <c r="W98" s="531"/>
      <c r="X98" s="531"/>
      <c r="Y98" s="531"/>
      <c r="Z98" s="531"/>
      <c r="AA98" s="531"/>
      <c r="AB98" s="529"/>
      <c r="AC98" s="532"/>
      <c r="AD98" s="532"/>
      <c r="AE98" s="531"/>
      <c r="AF98" s="531">
        <v>2.6</v>
      </c>
      <c r="AG98" s="565" t="e">
        <f t="shared" si="49"/>
        <v>#DIV/0!</v>
      </c>
      <c r="AH98" s="529"/>
      <c r="AI98" s="529"/>
      <c r="AJ98" s="531"/>
      <c r="AK98" s="531"/>
      <c r="AL98" s="531"/>
      <c r="AM98" s="531"/>
      <c r="AN98" s="533"/>
      <c r="AO98" s="534"/>
      <c r="AP98" s="549">
        <v>2.6</v>
      </c>
      <c r="AR98" s="870" t="e">
        <f t="shared" si="43"/>
        <v>#DIV/0!</v>
      </c>
      <c r="AS98" s="541">
        <f t="shared" si="44"/>
        <v>0</v>
      </c>
      <c r="AT98" s="542" t="e">
        <f t="shared" si="45"/>
        <v>#DIV/0!</v>
      </c>
      <c r="AU98" s="547" t="e">
        <f t="shared" si="51"/>
        <v>#DIV/0!</v>
      </c>
      <c r="AV98" s="536">
        <f t="shared" si="15"/>
        <v>0</v>
      </c>
      <c r="AW98" s="536">
        <f t="shared" si="46"/>
        <v>0</v>
      </c>
      <c r="AX98" s="544">
        <f t="shared" si="47"/>
        <v>0</v>
      </c>
    </row>
    <row r="99" spans="1:50" ht="17.25" customHeight="1" x14ac:dyDescent="0.25">
      <c r="A99" s="794" t="s">
        <v>123</v>
      </c>
      <c r="B99" s="526"/>
      <c r="C99" s="527"/>
      <c r="D99" s="564">
        <f t="shared" si="10"/>
        <v>-1.1000000000000001</v>
      </c>
      <c r="E99" s="565" t="e">
        <f t="shared" si="0"/>
        <v>#DIV/0!</v>
      </c>
      <c r="F99" s="528"/>
      <c r="G99" s="562">
        <f t="shared" si="19"/>
        <v>0</v>
      </c>
      <c r="H99" s="563">
        <f t="shared" si="11"/>
        <v>1.1000000000000001</v>
      </c>
      <c r="I99" s="563" t="e">
        <f t="shared" si="12"/>
        <v>#DIV/0!</v>
      </c>
      <c r="J99" s="529"/>
      <c r="K99" s="530"/>
      <c r="L99" s="560">
        <f t="shared" si="52"/>
        <v>0</v>
      </c>
      <c r="M99" s="560" t="e">
        <f t="shared" si="48"/>
        <v>#DIV/0!</v>
      </c>
      <c r="N99" s="818"/>
      <c r="O99" s="572"/>
      <c r="P99" s="560" t="e">
        <f t="shared" si="37"/>
        <v>#DIV/0!</v>
      </c>
      <c r="Q99" s="557">
        <f t="shared" si="4"/>
        <v>0</v>
      </c>
      <c r="R99" s="559" t="e">
        <f t="shared" si="33"/>
        <v>#DIV/0!</v>
      </c>
      <c r="S99" s="556">
        <f t="shared" si="13"/>
        <v>0</v>
      </c>
      <c r="T99" s="531"/>
      <c r="U99" s="531"/>
      <c r="V99" s="531"/>
      <c r="W99" s="531"/>
      <c r="X99" s="531"/>
      <c r="Y99" s="531"/>
      <c r="Z99" s="531"/>
      <c r="AA99" s="531"/>
      <c r="AB99" s="529"/>
      <c r="AC99" s="532"/>
      <c r="AD99" s="532"/>
      <c r="AE99" s="531"/>
      <c r="AF99" s="531">
        <v>2.6</v>
      </c>
      <c r="AG99" s="565" t="e">
        <f t="shared" si="49"/>
        <v>#DIV/0!</v>
      </c>
      <c r="AH99" s="529"/>
      <c r="AI99" s="529"/>
      <c r="AJ99" s="531"/>
      <c r="AK99" s="531"/>
      <c r="AL99" s="531"/>
      <c r="AM99" s="531"/>
      <c r="AN99" s="533"/>
      <c r="AO99" s="534"/>
      <c r="AP99" s="549">
        <v>2.6</v>
      </c>
      <c r="AR99" s="870" t="e">
        <f t="shared" si="43"/>
        <v>#DIV/0!</v>
      </c>
      <c r="AS99" s="541">
        <f t="shared" si="44"/>
        <v>0</v>
      </c>
      <c r="AT99" s="542" t="e">
        <f t="shared" si="45"/>
        <v>#DIV/0!</v>
      </c>
      <c r="AU99" s="547" t="e">
        <f t="shared" si="51"/>
        <v>#DIV/0!</v>
      </c>
      <c r="AV99" s="536">
        <f t="shared" si="15"/>
        <v>0</v>
      </c>
      <c r="AW99" s="536">
        <f t="shared" si="46"/>
        <v>0</v>
      </c>
      <c r="AX99" s="544">
        <f t="shared" si="47"/>
        <v>0</v>
      </c>
    </row>
    <row r="100" spans="1:50" ht="17.25" customHeight="1" x14ac:dyDescent="0.25">
      <c r="A100" s="794" t="s">
        <v>123</v>
      </c>
      <c r="B100" s="526"/>
      <c r="C100" s="527"/>
      <c r="D100" s="564">
        <f t="shared" si="10"/>
        <v>-1.1000000000000001</v>
      </c>
      <c r="E100" s="565" t="e">
        <f t="shared" si="0"/>
        <v>#DIV/0!</v>
      </c>
      <c r="F100" s="528"/>
      <c r="G100" s="562">
        <f t="shared" si="19"/>
        <v>0</v>
      </c>
      <c r="H100" s="563">
        <f t="shared" si="11"/>
        <v>1.1000000000000001</v>
      </c>
      <c r="I100" s="563" t="e">
        <f t="shared" si="12"/>
        <v>#DIV/0!</v>
      </c>
      <c r="J100" s="529"/>
      <c r="K100" s="530"/>
      <c r="L100" s="560">
        <f t="shared" si="52"/>
        <v>0</v>
      </c>
      <c r="M100" s="560" t="e">
        <f t="shared" si="48"/>
        <v>#DIV/0!</v>
      </c>
      <c r="N100" s="818"/>
      <c r="O100" s="572"/>
      <c r="P100" s="560" t="e">
        <f t="shared" si="37"/>
        <v>#DIV/0!</v>
      </c>
      <c r="Q100" s="557">
        <f t="shared" si="4"/>
        <v>0</v>
      </c>
      <c r="R100" s="559" t="e">
        <f t="shared" si="33"/>
        <v>#DIV/0!</v>
      </c>
      <c r="S100" s="556">
        <f t="shared" si="13"/>
        <v>0</v>
      </c>
      <c r="T100" s="531"/>
      <c r="U100" s="531"/>
      <c r="V100" s="531"/>
      <c r="W100" s="531"/>
      <c r="X100" s="531"/>
      <c r="Y100" s="531"/>
      <c r="Z100" s="531"/>
      <c r="AA100" s="531"/>
      <c r="AB100" s="529"/>
      <c r="AC100" s="532"/>
      <c r="AD100" s="532"/>
      <c r="AE100" s="531"/>
      <c r="AF100" s="531">
        <v>2.6</v>
      </c>
      <c r="AG100" s="565" t="e">
        <f t="shared" si="49"/>
        <v>#DIV/0!</v>
      </c>
      <c r="AH100" s="529"/>
      <c r="AI100" s="529"/>
      <c r="AJ100" s="531"/>
      <c r="AK100" s="531"/>
      <c r="AL100" s="531"/>
      <c r="AM100" s="531"/>
      <c r="AN100" s="533"/>
      <c r="AO100" s="534"/>
      <c r="AP100" s="549">
        <v>2.6</v>
      </c>
      <c r="AR100" s="870" t="e">
        <f t="shared" si="43"/>
        <v>#DIV/0!</v>
      </c>
      <c r="AS100" s="541">
        <f t="shared" si="44"/>
        <v>0</v>
      </c>
      <c r="AT100" s="542" t="e">
        <f t="shared" si="45"/>
        <v>#DIV/0!</v>
      </c>
      <c r="AU100" s="547" t="e">
        <f t="shared" si="51"/>
        <v>#DIV/0!</v>
      </c>
      <c r="AV100" s="536">
        <f t="shared" si="15"/>
        <v>0</v>
      </c>
      <c r="AW100" s="536">
        <f t="shared" si="46"/>
        <v>0</v>
      </c>
      <c r="AX100" s="544">
        <f t="shared" si="47"/>
        <v>0</v>
      </c>
    </row>
    <row r="101" spans="1:50" ht="17.25" customHeight="1" x14ac:dyDescent="0.25">
      <c r="A101" s="794" t="s">
        <v>123</v>
      </c>
      <c r="B101" s="526"/>
      <c r="C101" s="527"/>
      <c r="D101" s="564">
        <f t="shared" si="10"/>
        <v>-1.1000000000000001</v>
      </c>
      <c r="E101" s="565" t="e">
        <f t="shared" si="0"/>
        <v>#DIV/0!</v>
      </c>
      <c r="F101" s="528"/>
      <c r="G101" s="562">
        <f t="shared" si="19"/>
        <v>0</v>
      </c>
      <c r="H101" s="563">
        <f t="shared" si="11"/>
        <v>1.1000000000000001</v>
      </c>
      <c r="I101" s="563" t="e">
        <f t="shared" si="12"/>
        <v>#DIV/0!</v>
      </c>
      <c r="J101" s="529"/>
      <c r="K101" s="530"/>
      <c r="L101" s="560">
        <f t="shared" si="52"/>
        <v>0</v>
      </c>
      <c r="M101" s="560" t="e">
        <f t="shared" si="48"/>
        <v>#DIV/0!</v>
      </c>
      <c r="N101" s="818"/>
      <c r="O101" s="572"/>
      <c r="P101" s="560" t="e">
        <f t="shared" si="37"/>
        <v>#DIV/0!</v>
      </c>
      <c r="Q101" s="557">
        <f t="shared" si="4"/>
        <v>0</v>
      </c>
      <c r="R101" s="559" t="e">
        <f t="shared" si="33"/>
        <v>#DIV/0!</v>
      </c>
      <c r="S101" s="556">
        <f t="shared" si="13"/>
        <v>0</v>
      </c>
      <c r="T101" s="531"/>
      <c r="U101" s="531"/>
      <c r="V101" s="531"/>
      <c r="W101" s="531"/>
      <c r="X101" s="531"/>
      <c r="Y101" s="531"/>
      <c r="Z101" s="531"/>
      <c r="AA101" s="531"/>
      <c r="AB101" s="529"/>
      <c r="AC101" s="532"/>
      <c r="AD101" s="532"/>
      <c r="AE101" s="531"/>
      <c r="AF101" s="531">
        <v>2.6</v>
      </c>
      <c r="AG101" s="565" t="e">
        <f t="shared" si="49"/>
        <v>#DIV/0!</v>
      </c>
      <c r="AH101" s="529"/>
      <c r="AI101" s="529"/>
      <c r="AJ101" s="531"/>
      <c r="AK101" s="531"/>
      <c r="AL101" s="531"/>
      <c r="AM101" s="531"/>
      <c r="AN101" s="533"/>
      <c r="AO101" s="534"/>
      <c r="AP101" s="549">
        <v>2.6</v>
      </c>
      <c r="AR101" s="870" t="e">
        <f t="shared" si="43"/>
        <v>#DIV/0!</v>
      </c>
      <c r="AS101" s="541">
        <f t="shared" si="44"/>
        <v>0</v>
      </c>
      <c r="AT101" s="542" t="e">
        <f t="shared" si="45"/>
        <v>#DIV/0!</v>
      </c>
      <c r="AU101" s="547" t="e">
        <f t="shared" si="51"/>
        <v>#DIV/0!</v>
      </c>
      <c r="AV101" s="536">
        <f t="shared" si="15"/>
        <v>0</v>
      </c>
      <c r="AW101" s="536">
        <f t="shared" si="46"/>
        <v>0</v>
      </c>
      <c r="AX101" s="544">
        <f t="shared" si="47"/>
        <v>0</v>
      </c>
    </row>
    <row r="102" spans="1:50" ht="17.25" customHeight="1" x14ac:dyDescent="0.25">
      <c r="A102" s="794" t="s">
        <v>123</v>
      </c>
      <c r="B102" s="526"/>
      <c r="C102" s="527"/>
      <c r="D102" s="564">
        <f t="shared" si="10"/>
        <v>-1.1000000000000001</v>
      </c>
      <c r="E102" s="565" t="e">
        <f t="shared" si="0"/>
        <v>#DIV/0!</v>
      </c>
      <c r="F102" s="528"/>
      <c r="G102" s="562">
        <f t="shared" si="19"/>
        <v>0</v>
      </c>
      <c r="H102" s="563">
        <f t="shared" si="11"/>
        <v>1.1000000000000001</v>
      </c>
      <c r="I102" s="563" t="e">
        <f t="shared" si="12"/>
        <v>#DIV/0!</v>
      </c>
      <c r="J102" s="529"/>
      <c r="K102" s="530"/>
      <c r="L102" s="560">
        <f t="shared" si="52"/>
        <v>0</v>
      </c>
      <c r="M102" s="560" t="e">
        <f t="shared" si="48"/>
        <v>#DIV/0!</v>
      </c>
      <c r="N102" s="818"/>
      <c r="O102" s="572"/>
      <c r="P102" s="560" t="e">
        <f t="shared" si="37"/>
        <v>#DIV/0!</v>
      </c>
      <c r="Q102" s="557">
        <f t="shared" si="4"/>
        <v>0</v>
      </c>
      <c r="R102" s="559" t="e">
        <f t="shared" si="33"/>
        <v>#DIV/0!</v>
      </c>
      <c r="S102" s="556">
        <f t="shared" si="13"/>
        <v>0</v>
      </c>
      <c r="T102" s="531"/>
      <c r="U102" s="531"/>
      <c r="V102" s="531"/>
      <c r="W102" s="531"/>
      <c r="X102" s="531"/>
      <c r="Y102" s="531"/>
      <c r="Z102" s="531"/>
      <c r="AA102" s="531"/>
      <c r="AB102" s="529"/>
      <c r="AC102" s="532"/>
      <c r="AD102" s="532"/>
      <c r="AE102" s="531"/>
      <c r="AF102" s="531">
        <v>2.6</v>
      </c>
      <c r="AG102" s="565" t="e">
        <f t="shared" si="49"/>
        <v>#DIV/0!</v>
      </c>
      <c r="AH102" s="529"/>
      <c r="AI102" s="529"/>
      <c r="AJ102" s="531"/>
      <c r="AK102" s="531"/>
      <c r="AL102" s="531"/>
      <c r="AM102" s="531"/>
      <c r="AN102" s="533"/>
      <c r="AO102" s="534"/>
      <c r="AP102" s="549">
        <v>2.6</v>
      </c>
      <c r="AR102" s="870" t="e">
        <f t="shared" si="43"/>
        <v>#DIV/0!</v>
      </c>
      <c r="AS102" s="541">
        <f t="shared" si="44"/>
        <v>0</v>
      </c>
      <c r="AT102" s="542" t="e">
        <f t="shared" si="45"/>
        <v>#DIV/0!</v>
      </c>
      <c r="AU102" s="547" t="e">
        <f t="shared" si="51"/>
        <v>#DIV/0!</v>
      </c>
      <c r="AV102" s="536">
        <f t="shared" si="15"/>
        <v>0</v>
      </c>
      <c r="AW102" s="536">
        <f t="shared" si="46"/>
        <v>0</v>
      </c>
      <c r="AX102" s="544">
        <f t="shared" si="47"/>
        <v>0</v>
      </c>
    </row>
    <row r="103" spans="1:50" ht="17.25" customHeight="1" x14ac:dyDescent="0.25">
      <c r="A103" s="833" t="s">
        <v>73</v>
      </c>
      <c r="B103" s="526"/>
      <c r="C103" s="527"/>
      <c r="D103" s="564">
        <f t="shared" si="10"/>
        <v>-1.1000000000000001</v>
      </c>
      <c r="E103" s="565" t="e">
        <f t="shared" si="0"/>
        <v>#DIV/0!</v>
      </c>
      <c r="F103" s="528"/>
      <c r="G103" s="562">
        <f t="shared" si="19"/>
        <v>0</v>
      </c>
      <c r="H103" s="563">
        <f t="shared" si="11"/>
        <v>1.1000000000000001</v>
      </c>
      <c r="I103" s="563" t="e">
        <f t="shared" si="12"/>
        <v>#DIV/0!</v>
      </c>
      <c r="J103" s="529"/>
      <c r="K103" s="530"/>
      <c r="L103" s="560">
        <f t="shared" si="52"/>
        <v>0</v>
      </c>
      <c r="M103" s="560" t="e">
        <f t="shared" si="48"/>
        <v>#DIV/0!</v>
      </c>
      <c r="N103" s="818"/>
      <c r="O103" s="572"/>
      <c r="P103" s="560" t="e">
        <f t="shared" si="37"/>
        <v>#DIV/0!</v>
      </c>
      <c r="Q103" s="557">
        <f t="shared" si="4"/>
        <v>0</v>
      </c>
      <c r="R103" s="559" t="e">
        <f t="shared" si="33"/>
        <v>#DIV/0!</v>
      </c>
      <c r="S103" s="556">
        <f t="shared" si="13"/>
        <v>0</v>
      </c>
      <c r="T103" s="531"/>
      <c r="U103" s="531"/>
      <c r="V103" s="531"/>
      <c r="W103" s="531"/>
      <c r="X103" s="531"/>
      <c r="Y103" s="531"/>
      <c r="Z103" s="531"/>
      <c r="AA103" s="531"/>
      <c r="AB103" s="529"/>
      <c r="AC103" s="532"/>
      <c r="AD103" s="532"/>
      <c r="AE103" s="531"/>
      <c r="AF103" s="531">
        <v>3.5</v>
      </c>
      <c r="AG103" s="559" t="e">
        <f t="shared" ref="AG103:AG112" si="53">(2.2357+1.2429*B$6)</f>
        <v>#DIV/0!</v>
      </c>
      <c r="AH103" s="529"/>
      <c r="AI103" s="529"/>
      <c r="AJ103" s="531"/>
      <c r="AK103" s="531"/>
      <c r="AL103" s="531"/>
      <c r="AM103" s="531"/>
      <c r="AN103" s="533"/>
      <c r="AO103" s="534"/>
      <c r="AP103" s="549">
        <v>3.5</v>
      </c>
      <c r="AR103" s="870" t="e">
        <f t="shared" si="43"/>
        <v>#DIV/0!</v>
      </c>
      <c r="AS103" s="541">
        <f t="shared" si="44"/>
        <v>0</v>
      </c>
      <c r="AT103" s="542" t="e">
        <f t="shared" si="45"/>
        <v>#DIV/0!</v>
      </c>
      <c r="AU103" s="547" t="e">
        <f>(2.2357+1.2429*$B$6)/100</f>
        <v>#DIV/0!</v>
      </c>
      <c r="AV103" s="536">
        <f t="shared" si="15"/>
        <v>0</v>
      </c>
      <c r="AW103" s="536">
        <f t="shared" si="46"/>
        <v>0</v>
      </c>
      <c r="AX103" s="544">
        <f t="shared" si="47"/>
        <v>0</v>
      </c>
    </row>
    <row r="104" spans="1:50" ht="17.25" customHeight="1" x14ac:dyDescent="0.25">
      <c r="A104" s="833" t="s">
        <v>73</v>
      </c>
      <c r="B104" s="526"/>
      <c r="C104" s="527"/>
      <c r="D104" s="564">
        <f t="shared" si="10"/>
        <v>-1.1000000000000001</v>
      </c>
      <c r="E104" s="565" t="e">
        <f t="shared" si="0"/>
        <v>#DIV/0!</v>
      </c>
      <c r="F104" s="528"/>
      <c r="G104" s="562">
        <f t="shared" si="19"/>
        <v>0</v>
      </c>
      <c r="H104" s="563">
        <f t="shared" si="11"/>
        <v>1.1000000000000001</v>
      </c>
      <c r="I104" s="563" t="e">
        <f t="shared" si="12"/>
        <v>#DIV/0!</v>
      </c>
      <c r="J104" s="529"/>
      <c r="K104" s="530"/>
      <c r="L104" s="560">
        <f t="shared" si="52"/>
        <v>0</v>
      </c>
      <c r="M104" s="560" t="e">
        <f t="shared" si="48"/>
        <v>#DIV/0!</v>
      </c>
      <c r="N104" s="818"/>
      <c r="O104" s="572"/>
      <c r="P104" s="560" t="e">
        <f t="shared" si="37"/>
        <v>#DIV/0!</v>
      </c>
      <c r="Q104" s="557">
        <f t="shared" si="4"/>
        <v>0</v>
      </c>
      <c r="R104" s="559" t="e">
        <f t="shared" si="33"/>
        <v>#DIV/0!</v>
      </c>
      <c r="S104" s="556">
        <f t="shared" si="13"/>
        <v>0</v>
      </c>
      <c r="T104" s="531"/>
      <c r="U104" s="531"/>
      <c r="V104" s="531"/>
      <c r="W104" s="531"/>
      <c r="X104" s="531"/>
      <c r="Y104" s="531"/>
      <c r="Z104" s="531"/>
      <c r="AA104" s="531"/>
      <c r="AB104" s="529"/>
      <c r="AC104" s="532"/>
      <c r="AD104" s="532"/>
      <c r="AE104" s="531"/>
      <c r="AF104" s="531">
        <v>3.5</v>
      </c>
      <c r="AG104" s="559" t="e">
        <f t="shared" si="53"/>
        <v>#DIV/0!</v>
      </c>
      <c r="AH104" s="529"/>
      <c r="AI104" s="529"/>
      <c r="AJ104" s="531"/>
      <c r="AK104" s="531"/>
      <c r="AL104" s="531"/>
      <c r="AM104" s="531"/>
      <c r="AN104" s="533"/>
      <c r="AO104" s="534"/>
      <c r="AP104" s="549">
        <v>3.5</v>
      </c>
      <c r="AR104" s="870" t="e">
        <f t="shared" si="43"/>
        <v>#DIV/0!</v>
      </c>
      <c r="AS104" s="541">
        <f t="shared" si="44"/>
        <v>0</v>
      </c>
      <c r="AT104" s="542" t="e">
        <f t="shared" si="45"/>
        <v>#DIV/0!</v>
      </c>
      <c r="AU104" s="547" t="e">
        <f t="shared" ref="AU104:AU112" si="54">(2.2357+1.2429*$B$6)/100</f>
        <v>#DIV/0!</v>
      </c>
      <c r="AV104" s="536">
        <f t="shared" si="15"/>
        <v>0</v>
      </c>
      <c r="AW104" s="536">
        <f t="shared" si="46"/>
        <v>0</v>
      </c>
      <c r="AX104" s="544">
        <f t="shared" si="47"/>
        <v>0</v>
      </c>
    </row>
    <row r="105" spans="1:50" ht="17.25" customHeight="1" x14ac:dyDescent="0.25">
      <c r="A105" s="833" t="s">
        <v>73</v>
      </c>
      <c r="B105" s="526"/>
      <c r="C105" s="527"/>
      <c r="D105" s="564">
        <f t="shared" si="10"/>
        <v>-1.1000000000000001</v>
      </c>
      <c r="E105" s="565" t="e">
        <f t="shared" si="0"/>
        <v>#DIV/0!</v>
      </c>
      <c r="F105" s="528"/>
      <c r="G105" s="562">
        <f t="shared" si="19"/>
        <v>0</v>
      </c>
      <c r="H105" s="563">
        <f t="shared" si="11"/>
        <v>1.1000000000000001</v>
      </c>
      <c r="I105" s="563" t="e">
        <f t="shared" si="12"/>
        <v>#DIV/0!</v>
      </c>
      <c r="J105" s="529"/>
      <c r="K105" s="530"/>
      <c r="L105" s="560">
        <f t="shared" si="52"/>
        <v>0</v>
      </c>
      <c r="M105" s="560" t="e">
        <f t="shared" si="48"/>
        <v>#DIV/0!</v>
      </c>
      <c r="N105" s="818"/>
      <c r="O105" s="572"/>
      <c r="P105" s="560" t="e">
        <f t="shared" si="37"/>
        <v>#DIV/0!</v>
      </c>
      <c r="Q105" s="557">
        <f t="shared" si="4"/>
        <v>0</v>
      </c>
      <c r="R105" s="559" t="e">
        <f t="shared" si="33"/>
        <v>#DIV/0!</v>
      </c>
      <c r="S105" s="556">
        <f t="shared" si="13"/>
        <v>0</v>
      </c>
      <c r="T105" s="531"/>
      <c r="U105" s="531"/>
      <c r="V105" s="531"/>
      <c r="W105" s="531"/>
      <c r="X105" s="531"/>
      <c r="Y105" s="531"/>
      <c r="Z105" s="531"/>
      <c r="AA105" s="531"/>
      <c r="AB105" s="529"/>
      <c r="AC105" s="532"/>
      <c r="AD105" s="532"/>
      <c r="AE105" s="531"/>
      <c r="AF105" s="531">
        <v>3.5</v>
      </c>
      <c r="AG105" s="559" t="e">
        <f t="shared" si="53"/>
        <v>#DIV/0!</v>
      </c>
      <c r="AH105" s="529"/>
      <c r="AI105" s="529"/>
      <c r="AJ105" s="531"/>
      <c r="AK105" s="531"/>
      <c r="AL105" s="531"/>
      <c r="AM105" s="531"/>
      <c r="AN105" s="533"/>
      <c r="AO105" s="534"/>
      <c r="AP105" s="549">
        <v>3.5</v>
      </c>
      <c r="AR105" s="870" t="e">
        <f t="shared" si="43"/>
        <v>#DIV/0!</v>
      </c>
      <c r="AS105" s="541">
        <f t="shared" si="44"/>
        <v>0</v>
      </c>
      <c r="AT105" s="542" t="e">
        <f t="shared" si="45"/>
        <v>#DIV/0!</v>
      </c>
      <c r="AU105" s="547" t="e">
        <f t="shared" si="54"/>
        <v>#DIV/0!</v>
      </c>
      <c r="AV105" s="536">
        <f t="shared" si="15"/>
        <v>0</v>
      </c>
      <c r="AW105" s="536">
        <f t="shared" si="46"/>
        <v>0</v>
      </c>
      <c r="AX105" s="544">
        <f t="shared" si="47"/>
        <v>0</v>
      </c>
    </row>
    <row r="106" spans="1:50" ht="17.25" customHeight="1" x14ac:dyDescent="0.25">
      <c r="A106" s="833" t="s">
        <v>73</v>
      </c>
      <c r="B106" s="526"/>
      <c r="C106" s="527"/>
      <c r="D106" s="564">
        <f t="shared" si="10"/>
        <v>-1.1000000000000001</v>
      </c>
      <c r="E106" s="565" t="e">
        <f t="shared" si="0"/>
        <v>#DIV/0!</v>
      </c>
      <c r="F106" s="528"/>
      <c r="G106" s="562">
        <f t="shared" si="19"/>
        <v>0</v>
      </c>
      <c r="H106" s="563">
        <f t="shared" si="11"/>
        <v>1.1000000000000001</v>
      </c>
      <c r="I106" s="563" t="e">
        <f t="shared" si="12"/>
        <v>#DIV/0!</v>
      </c>
      <c r="J106" s="529"/>
      <c r="K106" s="530"/>
      <c r="L106" s="560">
        <f t="shared" si="52"/>
        <v>0</v>
      </c>
      <c r="M106" s="560" t="e">
        <f t="shared" si="48"/>
        <v>#DIV/0!</v>
      </c>
      <c r="N106" s="818"/>
      <c r="O106" s="572"/>
      <c r="P106" s="560" t="e">
        <f t="shared" si="37"/>
        <v>#DIV/0!</v>
      </c>
      <c r="Q106" s="557">
        <f t="shared" si="4"/>
        <v>0</v>
      </c>
      <c r="R106" s="559" t="e">
        <f t="shared" si="33"/>
        <v>#DIV/0!</v>
      </c>
      <c r="S106" s="556">
        <f t="shared" si="13"/>
        <v>0</v>
      </c>
      <c r="T106" s="531"/>
      <c r="U106" s="531"/>
      <c r="V106" s="531"/>
      <c r="W106" s="531"/>
      <c r="X106" s="531"/>
      <c r="Y106" s="531"/>
      <c r="Z106" s="531"/>
      <c r="AA106" s="531"/>
      <c r="AB106" s="529"/>
      <c r="AC106" s="532"/>
      <c r="AD106" s="532"/>
      <c r="AE106" s="531"/>
      <c r="AF106" s="531">
        <v>3.5</v>
      </c>
      <c r="AG106" s="559" t="e">
        <f t="shared" si="53"/>
        <v>#DIV/0!</v>
      </c>
      <c r="AH106" s="529"/>
      <c r="AI106" s="529"/>
      <c r="AJ106" s="531"/>
      <c r="AK106" s="531"/>
      <c r="AL106" s="531"/>
      <c r="AM106" s="531"/>
      <c r="AN106" s="533"/>
      <c r="AO106" s="534"/>
      <c r="AP106" s="549">
        <v>3.5</v>
      </c>
      <c r="AR106" s="870" t="e">
        <f t="shared" si="43"/>
        <v>#DIV/0!</v>
      </c>
      <c r="AS106" s="541">
        <f t="shared" si="44"/>
        <v>0</v>
      </c>
      <c r="AT106" s="542" t="e">
        <f t="shared" si="45"/>
        <v>#DIV/0!</v>
      </c>
      <c r="AU106" s="547" t="e">
        <f t="shared" si="54"/>
        <v>#DIV/0!</v>
      </c>
      <c r="AV106" s="536">
        <f t="shared" si="15"/>
        <v>0</v>
      </c>
      <c r="AW106" s="536">
        <f t="shared" si="46"/>
        <v>0</v>
      </c>
      <c r="AX106" s="544">
        <f t="shared" si="47"/>
        <v>0</v>
      </c>
    </row>
    <row r="107" spans="1:50" ht="17.25" customHeight="1" x14ac:dyDescent="0.25">
      <c r="A107" s="833" t="s">
        <v>73</v>
      </c>
      <c r="B107" s="526"/>
      <c r="C107" s="527"/>
      <c r="D107" s="564">
        <f t="shared" si="10"/>
        <v>-1.1000000000000001</v>
      </c>
      <c r="E107" s="565" t="e">
        <f t="shared" si="0"/>
        <v>#DIV/0!</v>
      </c>
      <c r="F107" s="528"/>
      <c r="G107" s="562">
        <f t="shared" si="19"/>
        <v>0</v>
      </c>
      <c r="H107" s="563">
        <f t="shared" si="11"/>
        <v>1.1000000000000001</v>
      </c>
      <c r="I107" s="563" t="e">
        <f t="shared" si="12"/>
        <v>#DIV/0!</v>
      </c>
      <c r="J107" s="529"/>
      <c r="K107" s="530"/>
      <c r="L107" s="560">
        <f t="shared" si="52"/>
        <v>0</v>
      </c>
      <c r="M107" s="560" t="e">
        <f t="shared" si="48"/>
        <v>#DIV/0!</v>
      </c>
      <c r="N107" s="818"/>
      <c r="O107" s="572"/>
      <c r="P107" s="560" t="e">
        <f t="shared" si="37"/>
        <v>#DIV/0!</v>
      </c>
      <c r="Q107" s="557">
        <f t="shared" si="4"/>
        <v>0</v>
      </c>
      <c r="R107" s="559" t="e">
        <f t="shared" si="33"/>
        <v>#DIV/0!</v>
      </c>
      <c r="S107" s="556">
        <f t="shared" si="13"/>
        <v>0</v>
      </c>
      <c r="T107" s="531"/>
      <c r="U107" s="531"/>
      <c r="V107" s="531"/>
      <c r="W107" s="531"/>
      <c r="X107" s="531"/>
      <c r="Y107" s="531"/>
      <c r="Z107" s="531"/>
      <c r="AA107" s="531"/>
      <c r="AB107" s="529"/>
      <c r="AC107" s="532"/>
      <c r="AD107" s="532"/>
      <c r="AE107" s="531"/>
      <c r="AF107" s="531">
        <v>3.5</v>
      </c>
      <c r="AG107" s="559" t="e">
        <f t="shared" si="53"/>
        <v>#DIV/0!</v>
      </c>
      <c r="AH107" s="529"/>
      <c r="AI107" s="529"/>
      <c r="AJ107" s="531"/>
      <c r="AK107" s="531"/>
      <c r="AL107" s="531"/>
      <c r="AM107" s="531"/>
      <c r="AN107" s="533"/>
      <c r="AO107" s="534"/>
      <c r="AP107" s="549">
        <v>3.5</v>
      </c>
      <c r="AR107" s="870" t="e">
        <f t="shared" si="43"/>
        <v>#DIV/0!</v>
      </c>
      <c r="AS107" s="541">
        <f t="shared" si="44"/>
        <v>0</v>
      </c>
      <c r="AT107" s="542" t="e">
        <f t="shared" si="45"/>
        <v>#DIV/0!</v>
      </c>
      <c r="AU107" s="547" t="e">
        <f t="shared" si="54"/>
        <v>#DIV/0!</v>
      </c>
      <c r="AV107" s="536">
        <f t="shared" si="15"/>
        <v>0</v>
      </c>
      <c r="AW107" s="536">
        <f t="shared" si="46"/>
        <v>0</v>
      </c>
      <c r="AX107" s="544">
        <f t="shared" si="47"/>
        <v>0</v>
      </c>
    </row>
    <row r="108" spans="1:50" ht="17.25" customHeight="1" x14ac:dyDescent="0.25">
      <c r="A108" s="833" t="s">
        <v>73</v>
      </c>
      <c r="B108" s="526"/>
      <c r="C108" s="527"/>
      <c r="D108" s="564">
        <f t="shared" si="10"/>
        <v>-1.1000000000000001</v>
      </c>
      <c r="E108" s="565" t="e">
        <f t="shared" si="0"/>
        <v>#DIV/0!</v>
      </c>
      <c r="F108" s="528"/>
      <c r="G108" s="562">
        <f t="shared" si="19"/>
        <v>0</v>
      </c>
      <c r="H108" s="563">
        <f t="shared" si="11"/>
        <v>1.1000000000000001</v>
      </c>
      <c r="I108" s="563" t="e">
        <f t="shared" si="12"/>
        <v>#DIV/0!</v>
      </c>
      <c r="J108" s="529"/>
      <c r="K108" s="530"/>
      <c r="L108" s="560">
        <f t="shared" si="52"/>
        <v>0</v>
      </c>
      <c r="M108" s="560" t="e">
        <f t="shared" si="48"/>
        <v>#DIV/0!</v>
      </c>
      <c r="N108" s="818"/>
      <c r="O108" s="572"/>
      <c r="P108" s="560" t="e">
        <f t="shared" si="37"/>
        <v>#DIV/0!</v>
      </c>
      <c r="Q108" s="557">
        <f t="shared" si="4"/>
        <v>0</v>
      </c>
      <c r="R108" s="559" t="e">
        <f t="shared" si="33"/>
        <v>#DIV/0!</v>
      </c>
      <c r="S108" s="556">
        <f t="shared" si="13"/>
        <v>0</v>
      </c>
      <c r="T108" s="531"/>
      <c r="U108" s="531"/>
      <c r="V108" s="531"/>
      <c r="W108" s="531"/>
      <c r="X108" s="531"/>
      <c r="Y108" s="531"/>
      <c r="Z108" s="531"/>
      <c r="AA108" s="531"/>
      <c r="AB108" s="529"/>
      <c r="AC108" s="532"/>
      <c r="AD108" s="532"/>
      <c r="AE108" s="531"/>
      <c r="AF108" s="531">
        <v>3.5</v>
      </c>
      <c r="AG108" s="559" t="e">
        <f t="shared" si="53"/>
        <v>#DIV/0!</v>
      </c>
      <c r="AH108" s="529"/>
      <c r="AI108" s="529"/>
      <c r="AJ108" s="531"/>
      <c r="AK108" s="531"/>
      <c r="AL108" s="531"/>
      <c r="AM108" s="531"/>
      <c r="AN108" s="533"/>
      <c r="AO108" s="534"/>
      <c r="AP108" s="549">
        <v>3.5</v>
      </c>
      <c r="AR108" s="870" t="e">
        <f t="shared" si="43"/>
        <v>#DIV/0!</v>
      </c>
      <c r="AS108" s="541">
        <f t="shared" si="44"/>
        <v>0</v>
      </c>
      <c r="AT108" s="542" t="e">
        <f t="shared" si="45"/>
        <v>#DIV/0!</v>
      </c>
      <c r="AU108" s="547" t="e">
        <f t="shared" si="54"/>
        <v>#DIV/0!</v>
      </c>
      <c r="AV108" s="536">
        <f t="shared" si="15"/>
        <v>0</v>
      </c>
      <c r="AW108" s="536">
        <f t="shared" si="46"/>
        <v>0</v>
      </c>
      <c r="AX108" s="544">
        <f t="shared" si="47"/>
        <v>0</v>
      </c>
    </row>
    <row r="109" spans="1:50" ht="17.25" customHeight="1" x14ac:dyDescent="0.25">
      <c r="A109" s="833" t="s">
        <v>73</v>
      </c>
      <c r="B109" s="526"/>
      <c r="C109" s="527"/>
      <c r="D109" s="564">
        <f t="shared" si="10"/>
        <v>-1.1000000000000001</v>
      </c>
      <c r="E109" s="565" t="e">
        <f t="shared" si="0"/>
        <v>#DIV/0!</v>
      </c>
      <c r="F109" s="528"/>
      <c r="G109" s="562">
        <f t="shared" si="19"/>
        <v>0</v>
      </c>
      <c r="H109" s="563">
        <f t="shared" si="11"/>
        <v>1.1000000000000001</v>
      </c>
      <c r="I109" s="563" t="e">
        <f t="shared" si="12"/>
        <v>#DIV/0!</v>
      </c>
      <c r="J109" s="529"/>
      <c r="K109" s="530"/>
      <c r="L109" s="560">
        <f t="shared" si="52"/>
        <v>0</v>
      </c>
      <c r="M109" s="560" t="e">
        <f t="shared" si="48"/>
        <v>#DIV/0!</v>
      </c>
      <c r="N109" s="818"/>
      <c r="O109" s="572"/>
      <c r="P109" s="560" t="e">
        <f t="shared" si="37"/>
        <v>#DIV/0!</v>
      </c>
      <c r="Q109" s="557">
        <f t="shared" si="4"/>
        <v>0</v>
      </c>
      <c r="R109" s="559" t="e">
        <f t="shared" si="33"/>
        <v>#DIV/0!</v>
      </c>
      <c r="S109" s="556">
        <f t="shared" si="13"/>
        <v>0</v>
      </c>
      <c r="T109" s="531"/>
      <c r="U109" s="531"/>
      <c r="V109" s="531"/>
      <c r="W109" s="531"/>
      <c r="X109" s="531"/>
      <c r="Y109" s="531"/>
      <c r="Z109" s="531"/>
      <c r="AA109" s="531"/>
      <c r="AB109" s="529"/>
      <c r="AC109" s="532"/>
      <c r="AD109" s="532"/>
      <c r="AE109" s="531"/>
      <c r="AF109" s="531">
        <v>3.5</v>
      </c>
      <c r="AG109" s="559" t="e">
        <f t="shared" si="53"/>
        <v>#DIV/0!</v>
      </c>
      <c r="AH109" s="529"/>
      <c r="AI109" s="529"/>
      <c r="AJ109" s="531"/>
      <c r="AK109" s="531"/>
      <c r="AL109" s="531"/>
      <c r="AM109" s="531"/>
      <c r="AN109" s="533"/>
      <c r="AO109" s="534"/>
      <c r="AP109" s="549">
        <v>3.5</v>
      </c>
      <c r="AR109" s="870" t="e">
        <f t="shared" si="43"/>
        <v>#DIV/0!</v>
      </c>
      <c r="AS109" s="541">
        <f t="shared" si="44"/>
        <v>0</v>
      </c>
      <c r="AT109" s="542" t="e">
        <f t="shared" si="45"/>
        <v>#DIV/0!</v>
      </c>
      <c r="AU109" s="547" t="e">
        <f t="shared" si="54"/>
        <v>#DIV/0!</v>
      </c>
      <c r="AV109" s="536">
        <f t="shared" si="15"/>
        <v>0</v>
      </c>
      <c r="AW109" s="536">
        <f t="shared" si="46"/>
        <v>0</v>
      </c>
      <c r="AX109" s="544">
        <f t="shared" si="47"/>
        <v>0</v>
      </c>
    </row>
    <row r="110" spans="1:50" ht="17.25" customHeight="1" x14ac:dyDescent="0.25">
      <c r="A110" s="833" t="s">
        <v>73</v>
      </c>
      <c r="B110" s="526"/>
      <c r="C110" s="527"/>
      <c r="D110" s="564">
        <f t="shared" si="10"/>
        <v>-1.1000000000000001</v>
      </c>
      <c r="E110" s="565" t="e">
        <f t="shared" si="0"/>
        <v>#DIV/0!</v>
      </c>
      <c r="F110" s="528"/>
      <c r="G110" s="562">
        <f t="shared" si="19"/>
        <v>0</v>
      </c>
      <c r="H110" s="563">
        <f t="shared" si="11"/>
        <v>1.1000000000000001</v>
      </c>
      <c r="I110" s="563" t="e">
        <f t="shared" si="12"/>
        <v>#DIV/0!</v>
      </c>
      <c r="J110" s="529"/>
      <c r="K110" s="530"/>
      <c r="L110" s="560">
        <f t="shared" si="52"/>
        <v>0</v>
      </c>
      <c r="M110" s="560" t="e">
        <f t="shared" si="48"/>
        <v>#DIV/0!</v>
      </c>
      <c r="N110" s="818"/>
      <c r="O110" s="572"/>
      <c r="P110" s="560" t="e">
        <f t="shared" si="37"/>
        <v>#DIV/0!</v>
      </c>
      <c r="Q110" s="557">
        <f t="shared" si="4"/>
        <v>0</v>
      </c>
      <c r="R110" s="559" t="e">
        <f t="shared" si="33"/>
        <v>#DIV/0!</v>
      </c>
      <c r="S110" s="556">
        <f t="shared" si="13"/>
        <v>0</v>
      </c>
      <c r="T110" s="531"/>
      <c r="U110" s="531"/>
      <c r="V110" s="531"/>
      <c r="W110" s="531"/>
      <c r="X110" s="531"/>
      <c r="Y110" s="531"/>
      <c r="Z110" s="531"/>
      <c r="AA110" s="531"/>
      <c r="AB110" s="529"/>
      <c r="AC110" s="532"/>
      <c r="AD110" s="532"/>
      <c r="AE110" s="531"/>
      <c r="AF110" s="531">
        <v>3.5</v>
      </c>
      <c r="AG110" s="559" t="e">
        <f t="shared" si="53"/>
        <v>#DIV/0!</v>
      </c>
      <c r="AH110" s="529"/>
      <c r="AI110" s="529"/>
      <c r="AJ110" s="531"/>
      <c r="AK110" s="531"/>
      <c r="AL110" s="531"/>
      <c r="AM110" s="531"/>
      <c r="AN110" s="533"/>
      <c r="AO110" s="534"/>
      <c r="AP110" s="549">
        <v>3.5</v>
      </c>
      <c r="AR110" s="870" t="e">
        <f t="shared" si="43"/>
        <v>#DIV/0!</v>
      </c>
      <c r="AS110" s="541">
        <f t="shared" si="44"/>
        <v>0</v>
      </c>
      <c r="AT110" s="542" t="e">
        <f t="shared" si="45"/>
        <v>#DIV/0!</v>
      </c>
      <c r="AU110" s="547" t="e">
        <f t="shared" si="54"/>
        <v>#DIV/0!</v>
      </c>
      <c r="AV110" s="536">
        <f t="shared" si="15"/>
        <v>0</v>
      </c>
      <c r="AW110" s="536">
        <f t="shared" si="46"/>
        <v>0</v>
      </c>
      <c r="AX110" s="544">
        <f t="shared" si="47"/>
        <v>0</v>
      </c>
    </row>
    <row r="111" spans="1:50" ht="17.25" customHeight="1" x14ac:dyDescent="0.25">
      <c r="A111" s="833" t="s">
        <v>73</v>
      </c>
      <c r="B111" s="526"/>
      <c r="C111" s="527"/>
      <c r="D111" s="564">
        <f t="shared" si="10"/>
        <v>-1.1000000000000001</v>
      </c>
      <c r="E111" s="565" t="e">
        <f t="shared" si="0"/>
        <v>#DIV/0!</v>
      </c>
      <c r="F111" s="528"/>
      <c r="G111" s="562">
        <f t="shared" si="19"/>
        <v>0</v>
      </c>
      <c r="H111" s="563">
        <f t="shared" si="11"/>
        <v>1.1000000000000001</v>
      </c>
      <c r="I111" s="563" t="e">
        <f t="shared" si="12"/>
        <v>#DIV/0!</v>
      </c>
      <c r="J111" s="529"/>
      <c r="K111" s="530"/>
      <c r="L111" s="560">
        <f t="shared" si="52"/>
        <v>0</v>
      </c>
      <c r="M111" s="560" t="e">
        <f t="shared" si="48"/>
        <v>#DIV/0!</v>
      </c>
      <c r="N111" s="818"/>
      <c r="O111" s="572"/>
      <c r="P111" s="560" t="e">
        <f t="shared" si="37"/>
        <v>#DIV/0!</v>
      </c>
      <c r="Q111" s="557">
        <f t="shared" si="4"/>
        <v>0</v>
      </c>
      <c r="R111" s="559" t="e">
        <f t="shared" si="33"/>
        <v>#DIV/0!</v>
      </c>
      <c r="S111" s="556">
        <f t="shared" si="13"/>
        <v>0</v>
      </c>
      <c r="T111" s="531"/>
      <c r="U111" s="531"/>
      <c r="V111" s="531"/>
      <c r="W111" s="531"/>
      <c r="X111" s="531"/>
      <c r="Y111" s="531"/>
      <c r="Z111" s="531"/>
      <c r="AA111" s="531"/>
      <c r="AB111" s="529"/>
      <c r="AC111" s="532"/>
      <c r="AD111" s="532"/>
      <c r="AE111" s="531"/>
      <c r="AF111" s="531">
        <v>3.5</v>
      </c>
      <c r="AG111" s="559" t="e">
        <f t="shared" si="53"/>
        <v>#DIV/0!</v>
      </c>
      <c r="AH111" s="529"/>
      <c r="AI111" s="529"/>
      <c r="AJ111" s="531"/>
      <c r="AK111" s="531"/>
      <c r="AL111" s="531"/>
      <c r="AM111" s="531"/>
      <c r="AN111" s="533"/>
      <c r="AO111" s="534"/>
      <c r="AP111" s="549">
        <v>3.5</v>
      </c>
      <c r="AR111" s="870" t="e">
        <f t="shared" si="43"/>
        <v>#DIV/0!</v>
      </c>
      <c r="AS111" s="541">
        <f t="shared" si="44"/>
        <v>0</v>
      </c>
      <c r="AT111" s="542" t="e">
        <f t="shared" si="45"/>
        <v>#DIV/0!</v>
      </c>
      <c r="AU111" s="547" t="e">
        <f t="shared" si="54"/>
        <v>#DIV/0!</v>
      </c>
      <c r="AV111" s="536">
        <f t="shared" si="15"/>
        <v>0</v>
      </c>
      <c r="AW111" s="536">
        <f t="shared" si="46"/>
        <v>0</v>
      </c>
      <c r="AX111" s="544">
        <f t="shared" si="47"/>
        <v>0</v>
      </c>
    </row>
    <row r="112" spans="1:50" ht="17.25" customHeight="1" x14ac:dyDescent="0.25">
      <c r="A112" s="833" t="s">
        <v>73</v>
      </c>
      <c r="B112" s="526"/>
      <c r="C112" s="527"/>
      <c r="D112" s="564">
        <f t="shared" si="10"/>
        <v>-1.1000000000000001</v>
      </c>
      <c r="E112" s="565" t="e">
        <f t="shared" si="0"/>
        <v>#DIV/0!</v>
      </c>
      <c r="F112" s="528"/>
      <c r="G112" s="562">
        <f t="shared" si="19"/>
        <v>0</v>
      </c>
      <c r="H112" s="563">
        <f t="shared" si="11"/>
        <v>1.1000000000000001</v>
      </c>
      <c r="I112" s="563" t="e">
        <f t="shared" si="12"/>
        <v>#DIV/0!</v>
      </c>
      <c r="J112" s="529"/>
      <c r="K112" s="530"/>
      <c r="L112" s="560">
        <f t="shared" si="52"/>
        <v>0</v>
      </c>
      <c r="M112" s="560" t="e">
        <f t="shared" si="48"/>
        <v>#DIV/0!</v>
      </c>
      <c r="N112" s="818"/>
      <c r="O112" s="572"/>
      <c r="P112" s="560" t="e">
        <f t="shared" si="37"/>
        <v>#DIV/0!</v>
      </c>
      <c r="Q112" s="557">
        <f t="shared" si="4"/>
        <v>0</v>
      </c>
      <c r="R112" s="559" t="e">
        <f t="shared" si="33"/>
        <v>#DIV/0!</v>
      </c>
      <c r="S112" s="556">
        <f t="shared" si="13"/>
        <v>0</v>
      </c>
      <c r="T112" s="531"/>
      <c r="U112" s="531"/>
      <c r="V112" s="531"/>
      <c r="W112" s="531"/>
      <c r="X112" s="531"/>
      <c r="Y112" s="531"/>
      <c r="Z112" s="531"/>
      <c r="AA112" s="531"/>
      <c r="AB112" s="529"/>
      <c r="AC112" s="532"/>
      <c r="AD112" s="532"/>
      <c r="AE112" s="531"/>
      <c r="AF112" s="531">
        <v>3.5</v>
      </c>
      <c r="AG112" s="559" t="e">
        <f t="shared" si="53"/>
        <v>#DIV/0!</v>
      </c>
      <c r="AH112" s="529"/>
      <c r="AI112" s="529"/>
      <c r="AJ112" s="531"/>
      <c r="AK112" s="531"/>
      <c r="AL112" s="531"/>
      <c r="AM112" s="531"/>
      <c r="AN112" s="533"/>
      <c r="AO112" s="534"/>
      <c r="AP112" s="549">
        <v>3.5</v>
      </c>
      <c r="AR112" s="870" t="e">
        <f t="shared" si="43"/>
        <v>#DIV/0!</v>
      </c>
      <c r="AS112" s="541">
        <f t="shared" si="44"/>
        <v>0</v>
      </c>
      <c r="AT112" s="542" t="e">
        <f t="shared" si="45"/>
        <v>#DIV/0!</v>
      </c>
      <c r="AU112" s="547" t="e">
        <f t="shared" si="54"/>
        <v>#DIV/0!</v>
      </c>
      <c r="AV112" s="536">
        <f t="shared" si="15"/>
        <v>0</v>
      </c>
      <c r="AW112" s="536">
        <f t="shared" si="46"/>
        <v>0</v>
      </c>
      <c r="AX112" s="544">
        <f t="shared" si="47"/>
        <v>0</v>
      </c>
    </row>
    <row r="113" spans="1:50" ht="17.25" customHeight="1" x14ac:dyDescent="0.25">
      <c r="A113" s="834" t="s">
        <v>271</v>
      </c>
      <c r="B113" s="526"/>
      <c r="C113" s="527"/>
      <c r="D113" s="564">
        <f t="shared" si="10"/>
        <v>-1.1000000000000001</v>
      </c>
      <c r="E113" s="565" t="e">
        <f t="shared" si="0"/>
        <v>#DIV/0!</v>
      </c>
      <c r="F113" s="528"/>
      <c r="G113" s="562">
        <f t="shared" si="19"/>
        <v>0</v>
      </c>
      <c r="H113" s="563">
        <f t="shared" si="11"/>
        <v>1.1000000000000001</v>
      </c>
      <c r="I113" s="563" t="e">
        <f t="shared" si="12"/>
        <v>#DIV/0!</v>
      </c>
      <c r="J113" s="529"/>
      <c r="K113" s="530"/>
      <c r="L113" s="560">
        <f t="shared" si="52"/>
        <v>0</v>
      </c>
      <c r="M113" s="560" t="e">
        <f t="shared" si="48"/>
        <v>#DIV/0!</v>
      </c>
      <c r="N113" s="818"/>
      <c r="O113" s="572"/>
      <c r="P113" s="560" t="e">
        <f t="shared" si="37"/>
        <v>#DIV/0!</v>
      </c>
      <c r="Q113" s="557">
        <f t="shared" si="4"/>
        <v>0</v>
      </c>
      <c r="R113" s="559" t="e">
        <f t="shared" si="33"/>
        <v>#DIV/0!</v>
      </c>
      <c r="S113" s="556">
        <f t="shared" si="13"/>
        <v>0</v>
      </c>
      <c r="T113" s="531"/>
      <c r="U113" s="531"/>
      <c r="V113" s="531"/>
      <c r="W113" s="531"/>
      <c r="X113" s="531"/>
      <c r="Y113" s="531"/>
      <c r="Z113" s="531"/>
      <c r="AA113" s="531"/>
      <c r="AB113" s="529"/>
      <c r="AC113" s="532"/>
      <c r="AD113" s="532"/>
      <c r="AE113" s="531"/>
      <c r="AF113" s="531">
        <v>2.9</v>
      </c>
      <c r="AG113" s="559" t="e">
        <f t="shared" ref="AG113:AG122" si="55">(1.9607+0.9643*B$6)</f>
        <v>#DIV/0!</v>
      </c>
      <c r="AH113" s="529"/>
      <c r="AI113" s="529"/>
      <c r="AJ113" s="531"/>
      <c r="AK113" s="531"/>
      <c r="AL113" s="531"/>
      <c r="AM113" s="531"/>
      <c r="AN113" s="533"/>
      <c r="AO113" s="534"/>
      <c r="AP113" s="549">
        <v>2.9</v>
      </c>
      <c r="AR113" s="870" t="e">
        <f t="shared" si="43"/>
        <v>#DIV/0!</v>
      </c>
      <c r="AS113" s="541">
        <f t="shared" si="44"/>
        <v>0</v>
      </c>
      <c r="AT113" s="542" t="e">
        <f t="shared" si="45"/>
        <v>#DIV/0!</v>
      </c>
      <c r="AU113" s="547" t="e">
        <f>(1.9607+0.9643*$B$6)/100</f>
        <v>#DIV/0!</v>
      </c>
      <c r="AV113" s="536">
        <f t="shared" si="15"/>
        <v>0</v>
      </c>
      <c r="AW113" s="536">
        <f t="shared" si="46"/>
        <v>0</v>
      </c>
      <c r="AX113" s="544">
        <f t="shared" si="47"/>
        <v>0</v>
      </c>
    </row>
    <row r="114" spans="1:50" ht="17.25" customHeight="1" x14ac:dyDescent="0.25">
      <c r="A114" s="834" t="s">
        <v>271</v>
      </c>
      <c r="B114" s="526"/>
      <c r="C114" s="527"/>
      <c r="D114" s="564">
        <f t="shared" si="10"/>
        <v>-1.1000000000000001</v>
      </c>
      <c r="E114" s="565" t="e">
        <f t="shared" si="0"/>
        <v>#DIV/0!</v>
      </c>
      <c r="F114" s="528"/>
      <c r="G114" s="562">
        <f t="shared" si="19"/>
        <v>0</v>
      </c>
      <c r="H114" s="563">
        <f t="shared" si="11"/>
        <v>1.1000000000000001</v>
      </c>
      <c r="I114" s="563" t="e">
        <f t="shared" si="12"/>
        <v>#DIV/0!</v>
      </c>
      <c r="J114" s="529"/>
      <c r="K114" s="530"/>
      <c r="L114" s="560">
        <f t="shared" si="52"/>
        <v>0</v>
      </c>
      <c r="M114" s="560" t="e">
        <f t="shared" si="48"/>
        <v>#DIV/0!</v>
      </c>
      <c r="N114" s="818"/>
      <c r="O114" s="572"/>
      <c r="P114" s="560" t="e">
        <f t="shared" si="37"/>
        <v>#DIV/0!</v>
      </c>
      <c r="Q114" s="557">
        <f t="shared" si="4"/>
        <v>0</v>
      </c>
      <c r="R114" s="559" t="e">
        <f t="shared" si="33"/>
        <v>#DIV/0!</v>
      </c>
      <c r="S114" s="556">
        <f t="shared" si="13"/>
        <v>0</v>
      </c>
      <c r="T114" s="531"/>
      <c r="U114" s="531"/>
      <c r="V114" s="531"/>
      <c r="W114" s="531"/>
      <c r="X114" s="531"/>
      <c r="Y114" s="531"/>
      <c r="Z114" s="531"/>
      <c r="AA114" s="531"/>
      <c r="AB114" s="529"/>
      <c r="AC114" s="532"/>
      <c r="AD114" s="532"/>
      <c r="AE114" s="531"/>
      <c r="AF114" s="531">
        <v>2.9</v>
      </c>
      <c r="AG114" s="559" t="e">
        <f t="shared" si="55"/>
        <v>#DIV/0!</v>
      </c>
      <c r="AH114" s="529"/>
      <c r="AI114" s="529"/>
      <c r="AJ114" s="531"/>
      <c r="AK114" s="531"/>
      <c r="AL114" s="531"/>
      <c r="AM114" s="531"/>
      <c r="AN114" s="533"/>
      <c r="AO114" s="534"/>
      <c r="AP114" s="549">
        <v>2.9</v>
      </c>
      <c r="AR114" s="870" t="e">
        <f t="shared" si="43"/>
        <v>#DIV/0!</v>
      </c>
      <c r="AS114" s="541">
        <f t="shared" si="44"/>
        <v>0</v>
      </c>
      <c r="AT114" s="542" t="e">
        <f t="shared" si="45"/>
        <v>#DIV/0!</v>
      </c>
      <c r="AU114" s="547" t="e">
        <f t="shared" ref="AU114:AU122" si="56">(1.9607+0.9643*$B$6)/100</f>
        <v>#DIV/0!</v>
      </c>
      <c r="AV114" s="536">
        <f t="shared" si="15"/>
        <v>0</v>
      </c>
      <c r="AW114" s="536">
        <f t="shared" si="46"/>
        <v>0</v>
      </c>
      <c r="AX114" s="544">
        <f t="shared" si="47"/>
        <v>0</v>
      </c>
    </row>
    <row r="115" spans="1:50" ht="17.25" customHeight="1" x14ac:dyDescent="0.25">
      <c r="A115" s="834" t="s">
        <v>271</v>
      </c>
      <c r="B115" s="526"/>
      <c r="C115" s="527"/>
      <c r="D115" s="564">
        <f t="shared" si="10"/>
        <v>-1.1000000000000001</v>
      </c>
      <c r="E115" s="565" t="e">
        <f t="shared" si="0"/>
        <v>#DIV/0!</v>
      </c>
      <c r="F115" s="528"/>
      <c r="G115" s="562">
        <f t="shared" si="19"/>
        <v>0</v>
      </c>
      <c r="H115" s="563">
        <f t="shared" si="11"/>
        <v>1.1000000000000001</v>
      </c>
      <c r="I115" s="563" t="e">
        <f t="shared" si="12"/>
        <v>#DIV/0!</v>
      </c>
      <c r="J115" s="529"/>
      <c r="K115" s="530"/>
      <c r="L115" s="560">
        <f t="shared" si="52"/>
        <v>0</v>
      </c>
      <c r="M115" s="560" t="e">
        <f t="shared" si="48"/>
        <v>#DIV/0!</v>
      </c>
      <c r="N115" s="818"/>
      <c r="O115" s="572"/>
      <c r="P115" s="560" t="e">
        <f t="shared" si="37"/>
        <v>#DIV/0!</v>
      </c>
      <c r="Q115" s="557">
        <f t="shared" si="4"/>
        <v>0</v>
      </c>
      <c r="R115" s="559" t="e">
        <f t="shared" si="33"/>
        <v>#DIV/0!</v>
      </c>
      <c r="S115" s="556">
        <f t="shared" si="13"/>
        <v>0</v>
      </c>
      <c r="T115" s="531"/>
      <c r="U115" s="531"/>
      <c r="V115" s="531"/>
      <c r="W115" s="531"/>
      <c r="X115" s="531"/>
      <c r="Y115" s="531"/>
      <c r="Z115" s="531"/>
      <c r="AA115" s="531"/>
      <c r="AB115" s="529"/>
      <c r="AC115" s="532"/>
      <c r="AD115" s="532"/>
      <c r="AE115" s="531"/>
      <c r="AF115" s="531">
        <v>2.9</v>
      </c>
      <c r="AG115" s="559" t="e">
        <f t="shared" si="55"/>
        <v>#DIV/0!</v>
      </c>
      <c r="AH115" s="529"/>
      <c r="AI115" s="529"/>
      <c r="AJ115" s="531"/>
      <c r="AK115" s="531"/>
      <c r="AL115" s="531"/>
      <c r="AM115" s="531"/>
      <c r="AN115" s="533"/>
      <c r="AO115" s="534"/>
      <c r="AP115" s="549">
        <v>2.9</v>
      </c>
      <c r="AR115" s="870" t="e">
        <f t="shared" si="43"/>
        <v>#DIV/0!</v>
      </c>
      <c r="AS115" s="541">
        <f t="shared" si="44"/>
        <v>0</v>
      </c>
      <c r="AT115" s="542" t="e">
        <f t="shared" si="45"/>
        <v>#DIV/0!</v>
      </c>
      <c r="AU115" s="547" t="e">
        <f t="shared" si="56"/>
        <v>#DIV/0!</v>
      </c>
      <c r="AV115" s="536">
        <f t="shared" si="15"/>
        <v>0</v>
      </c>
      <c r="AW115" s="536">
        <f t="shared" si="46"/>
        <v>0</v>
      </c>
      <c r="AX115" s="544">
        <f t="shared" si="47"/>
        <v>0</v>
      </c>
    </row>
    <row r="116" spans="1:50" ht="17.25" customHeight="1" x14ac:dyDescent="0.25">
      <c r="A116" s="834" t="s">
        <v>271</v>
      </c>
      <c r="B116" s="526"/>
      <c r="C116" s="527"/>
      <c r="D116" s="564">
        <f t="shared" si="10"/>
        <v>-1.1000000000000001</v>
      </c>
      <c r="E116" s="565" t="e">
        <f t="shared" si="0"/>
        <v>#DIV/0!</v>
      </c>
      <c r="F116" s="528"/>
      <c r="G116" s="562">
        <f t="shared" si="19"/>
        <v>0</v>
      </c>
      <c r="H116" s="563">
        <f t="shared" si="11"/>
        <v>1.1000000000000001</v>
      </c>
      <c r="I116" s="563" t="e">
        <f t="shared" si="12"/>
        <v>#DIV/0!</v>
      </c>
      <c r="J116" s="529"/>
      <c r="K116" s="530"/>
      <c r="L116" s="560">
        <f t="shared" si="52"/>
        <v>0</v>
      </c>
      <c r="M116" s="560" t="e">
        <f t="shared" si="48"/>
        <v>#DIV/0!</v>
      </c>
      <c r="N116" s="818"/>
      <c r="O116" s="572"/>
      <c r="P116" s="560" t="e">
        <f t="shared" si="37"/>
        <v>#DIV/0!</v>
      </c>
      <c r="Q116" s="557">
        <f t="shared" si="4"/>
        <v>0</v>
      </c>
      <c r="R116" s="559" t="e">
        <f t="shared" si="33"/>
        <v>#DIV/0!</v>
      </c>
      <c r="S116" s="556">
        <f t="shared" si="13"/>
        <v>0</v>
      </c>
      <c r="T116" s="531"/>
      <c r="U116" s="531"/>
      <c r="V116" s="531"/>
      <c r="W116" s="531"/>
      <c r="X116" s="531"/>
      <c r="Y116" s="531"/>
      <c r="Z116" s="531"/>
      <c r="AA116" s="531"/>
      <c r="AB116" s="529"/>
      <c r="AC116" s="532"/>
      <c r="AD116" s="532"/>
      <c r="AE116" s="531"/>
      <c r="AF116" s="531">
        <v>2.9</v>
      </c>
      <c r="AG116" s="559" t="e">
        <f t="shared" si="55"/>
        <v>#DIV/0!</v>
      </c>
      <c r="AH116" s="529"/>
      <c r="AI116" s="529"/>
      <c r="AJ116" s="531"/>
      <c r="AK116" s="531"/>
      <c r="AL116" s="531"/>
      <c r="AM116" s="531"/>
      <c r="AN116" s="533"/>
      <c r="AO116" s="534"/>
      <c r="AP116" s="549">
        <v>2.9</v>
      </c>
      <c r="AR116" s="870" t="e">
        <f t="shared" si="43"/>
        <v>#DIV/0!</v>
      </c>
      <c r="AS116" s="541">
        <f t="shared" si="44"/>
        <v>0</v>
      </c>
      <c r="AT116" s="542" t="e">
        <f t="shared" si="45"/>
        <v>#DIV/0!</v>
      </c>
      <c r="AU116" s="547" t="e">
        <f t="shared" si="56"/>
        <v>#DIV/0!</v>
      </c>
      <c r="AV116" s="536">
        <f t="shared" si="15"/>
        <v>0</v>
      </c>
      <c r="AW116" s="536">
        <f t="shared" si="46"/>
        <v>0</v>
      </c>
      <c r="AX116" s="544">
        <f t="shared" si="47"/>
        <v>0</v>
      </c>
    </row>
    <row r="117" spans="1:50" ht="17.25" customHeight="1" x14ac:dyDescent="0.25">
      <c r="A117" s="834" t="s">
        <v>271</v>
      </c>
      <c r="B117" s="526"/>
      <c r="C117" s="527"/>
      <c r="D117" s="564">
        <f t="shared" si="10"/>
        <v>-1.1000000000000001</v>
      </c>
      <c r="E117" s="565" t="e">
        <f t="shared" si="0"/>
        <v>#DIV/0!</v>
      </c>
      <c r="F117" s="528"/>
      <c r="G117" s="562">
        <f t="shared" si="19"/>
        <v>0</v>
      </c>
      <c r="H117" s="563">
        <f t="shared" si="11"/>
        <v>1.1000000000000001</v>
      </c>
      <c r="I117" s="563" t="e">
        <f t="shared" si="12"/>
        <v>#DIV/0!</v>
      </c>
      <c r="J117" s="529"/>
      <c r="K117" s="530"/>
      <c r="L117" s="560">
        <f t="shared" si="52"/>
        <v>0</v>
      </c>
      <c r="M117" s="560" t="e">
        <f t="shared" si="48"/>
        <v>#DIV/0!</v>
      </c>
      <c r="N117" s="818"/>
      <c r="O117" s="572"/>
      <c r="P117" s="560" t="e">
        <f t="shared" si="37"/>
        <v>#DIV/0!</v>
      </c>
      <c r="Q117" s="557">
        <f t="shared" si="4"/>
        <v>0</v>
      </c>
      <c r="R117" s="559" t="e">
        <f t="shared" si="33"/>
        <v>#DIV/0!</v>
      </c>
      <c r="S117" s="556">
        <f t="shared" si="13"/>
        <v>0</v>
      </c>
      <c r="T117" s="531"/>
      <c r="U117" s="531"/>
      <c r="V117" s="531"/>
      <c r="W117" s="531"/>
      <c r="X117" s="531"/>
      <c r="Y117" s="531"/>
      <c r="Z117" s="531"/>
      <c r="AA117" s="531"/>
      <c r="AB117" s="529"/>
      <c r="AC117" s="532"/>
      <c r="AD117" s="532"/>
      <c r="AE117" s="531"/>
      <c r="AF117" s="531">
        <v>2.9</v>
      </c>
      <c r="AG117" s="559" t="e">
        <f t="shared" si="55"/>
        <v>#DIV/0!</v>
      </c>
      <c r="AH117" s="529"/>
      <c r="AI117" s="529"/>
      <c r="AJ117" s="531"/>
      <c r="AK117" s="531"/>
      <c r="AL117" s="531"/>
      <c r="AM117" s="531"/>
      <c r="AN117" s="533"/>
      <c r="AO117" s="534"/>
      <c r="AP117" s="549">
        <v>2.9</v>
      </c>
      <c r="AR117" s="870" t="e">
        <f t="shared" si="43"/>
        <v>#DIV/0!</v>
      </c>
      <c r="AS117" s="541">
        <f t="shared" si="44"/>
        <v>0</v>
      </c>
      <c r="AT117" s="542" t="e">
        <f t="shared" si="45"/>
        <v>#DIV/0!</v>
      </c>
      <c r="AU117" s="547" t="e">
        <f t="shared" si="56"/>
        <v>#DIV/0!</v>
      </c>
      <c r="AV117" s="536">
        <f t="shared" si="15"/>
        <v>0</v>
      </c>
      <c r="AW117" s="536">
        <f t="shared" si="46"/>
        <v>0</v>
      </c>
      <c r="AX117" s="544">
        <f t="shared" si="47"/>
        <v>0</v>
      </c>
    </row>
    <row r="118" spans="1:50" ht="17.25" customHeight="1" x14ac:dyDescent="0.25">
      <c r="A118" s="834" t="s">
        <v>271</v>
      </c>
      <c r="B118" s="526"/>
      <c r="C118" s="527"/>
      <c r="D118" s="564">
        <f t="shared" si="10"/>
        <v>-1.1000000000000001</v>
      </c>
      <c r="E118" s="565" t="e">
        <f t="shared" si="0"/>
        <v>#DIV/0!</v>
      </c>
      <c r="F118" s="528"/>
      <c r="G118" s="562">
        <f t="shared" si="19"/>
        <v>0</v>
      </c>
      <c r="H118" s="563">
        <f t="shared" si="11"/>
        <v>1.1000000000000001</v>
      </c>
      <c r="I118" s="563" t="e">
        <f t="shared" si="12"/>
        <v>#DIV/0!</v>
      </c>
      <c r="J118" s="529"/>
      <c r="K118" s="530"/>
      <c r="L118" s="560">
        <f t="shared" si="52"/>
        <v>0</v>
      </c>
      <c r="M118" s="560" t="e">
        <f t="shared" si="48"/>
        <v>#DIV/0!</v>
      </c>
      <c r="N118" s="818"/>
      <c r="O118" s="572"/>
      <c r="P118" s="560" t="e">
        <f t="shared" si="37"/>
        <v>#DIV/0!</v>
      </c>
      <c r="Q118" s="557">
        <f t="shared" si="4"/>
        <v>0</v>
      </c>
      <c r="R118" s="559" t="e">
        <f t="shared" si="33"/>
        <v>#DIV/0!</v>
      </c>
      <c r="S118" s="556">
        <f t="shared" si="13"/>
        <v>0</v>
      </c>
      <c r="T118" s="531"/>
      <c r="U118" s="531"/>
      <c r="V118" s="531"/>
      <c r="W118" s="531"/>
      <c r="X118" s="531"/>
      <c r="Y118" s="531"/>
      <c r="Z118" s="531"/>
      <c r="AA118" s="531"/>
      <c r="AB118" s="529"/>
      <c r="AC118" s="532"/>
      <c r="AD118" s="532"/>
      <c r="AE118" s="531"/>
      <c r="AF118" s="531">
        <v>2.9</v>
      </c>
      <c r="AG118" s="559" t="e">
        <f t="shared" si="55"/>
        <v>#DIV/0!</v>
      </c>
      <c r="AH118" s="529"/>
      <c r="AI118" s="529"/>
      <c r="AJ118" s="531"/>
      <c r="AK118" s="531"/>
      <c r="AL118" s="531"/>
      <c r="AM118" s="531"/>
      <c r="AN118" s="533"/>
      <c r="AO118" s="534"/>
      <c r="AP118" s="549">
        <v>2.9</v>
      </c>
      <c r="AR118" s="870" t="e">
        <f t="shared" si="43"/>
        <v>#DIV/0!</v>
      </c>
      <c r="AS118" s="541">
        <f t="shared" si="44"/>
        <v>0</v>
      </c>
      <c r="AT118" s="542" t="e">
        <f t="shared" si="45"/>
        <v>#DIV/0!</v>
      </c>
      <c r="AU118" s="547" t="e">
        <f t="shared" si="56"/>
        <v>#DIV/0!</v>
      </c>
      <c r="AV118" s="536">
        <f t="shared" si="15"/>
        <v>0</v>
      </c>
      <c r="AW118" s="536">
        <f t="shared" si="46"/>
        <v>0</v>
      </c>
      <c r="AX118" s="544">
        <f t="shared" ref="AX118:AX122" si="57">(K118-AW118)*AH118/100</f>
        <v>0</v>
      </c>
    </row>
    <row r="119" spans="1:50" ht="17.25" customHeight="1" x14ac:dyDescent="0.25">
      <c r="A119" s="834" t="s">
        <v>271</v>
      </c>
      <c r="B119" s="526"/>
      <c r="C119" s="527"/>
      <c r="D119" s="564">
        <f t="shared" si="10"/>
        <v>-1.1000000000000001</v>
      </c>
      <c r="E119" s="565" t="e">
        <f t="shared" si="0"/>
        <v>#DIV/0!</v>
      </c>
      <c r="F119" s="528"/>
      <c r="G119" s="562">
        <f t="shared" si="19"/>
        <v>0</v>
      </c>
      <c r="H119" s="563">
        <f t="shared" ref="H119:H122" si="58">MAX(0.7+0.014*O119,1.1)</f>
        <v>1.1000000000000001</v>
      </c>
      <c r="I119" s="563" t="e">
        <f t="shared" ref="I119:I122" si="59">MAX((H119+0.9*(B$6-1))/B$6,1.1)</f>
        <v>#DIV/0!</v>
      </c>
      <c r="J119" s="529"/>
      <c r="K119" s="530"/>
      <c r="L119" s="560">
        <f t="shared" si="52"/>
        <v>0</v>
      </c>
      <c r="M119" s="560" t="e">
        <f t="shared" si="48"/>
        <v>#DIV/0!</v>
      </c>
      <c r="N119" s="818"/>
      <c r="O119" s="572"/>
      <c r="P119" s="560" t="e">
        <f t="shared" si="37"/>
        <v>#DIV/0!</v>
      </c>
      <c r="Q119" s="557">
        <f t="shared" si="4"/>
        <v>0</v>
      </c>
      <c r="R119" s="559" t="e">
        <f t="shared" si="33"/>
        <v>#DIV/0!</v>
      </c>
      <c r="S119" s="556">
        <f t="shared" si="13"/>
        <v>0</v>
      </c>
      <c r="T119" s="531"/>
      <c r="U119" s="531"/>
      <c r="V119" s="531"/>
      <c r="W119" s="531"/>
      <c r="X119" s="531"/>
      <c r="Y119" s="531"/>
      <c r="Z119" s="531"/>
      <c r="AA119" s="531"/>
      <c r="AB119" s="529"/>
      <c r="AC119" s="532"/>
      <c r="AD119" s="532"/>
      <c r="AE119" s="531"/>
      <c r="AF119" s="531">
        <v>2.9</v>
      </c>
      <c r="AG119" s="559" t="e">
        <f t="shared" si="55"/>
        <v>#DIV/0!</v>
      </c>
      <c r="AH119" s="529"/>
      <c r="AI119" s="529"/>
      <c r="AJ119" s="531"/>
      <c r="AK119" s="531"/>
      <c r="AL119" s="531"/>
      <c r="AM119" s="531"/>
      <c r="AN119" s="533"/>
      <c r="AO119" s="534"/>
      <c r="AP119" s="549">
        <v>2.9</v>
      </c>
      <c r="AR119" s="870" t="e">
        <f t="shared" si="43"/>
        <v>#DIV/0!</v>
      </c>
      <c r="AS119" s="541">
        <f t="shared" si="44"/>
        <v>0</v>
      </c>
      <c r="AT119" s="542" t="e">
        <f t="shared" si="45"/>
        <v>#DIV/0!</v>
      </c>
      <c r="AU119" s="547" t="e">
        <f t="shared" si="56"/>
        <v>#DIV/0!</v>
      </c>
      <c r="AV119" s="536">
        <f t="shared" si="15"/>
        <v>0</v>
      </c>
      <c r="AW119" s="536">
        <f t="shared" si="46"/>
        <v>0</v>
      </c>
      <c r="AX119" s="544">
        <f t="shared" si="57"/>
        <v>0</v>
      </c>
    </row>
    <row r="120" spans="1:50" ht="17.25" customHeight="1" x14ac:dyDescent="0.25">
      <c r="A120" s="834" t="s">
        <v>271</v>
      </c>
      <c r="B120" s="526"/>
      <c r="C120" s="527"/>
      <c r="D120" s="564">
        <f t="shared" si="10"/>
        <v>-1.1000000000000001</v>
      </c>
      <c r="E120" s="565" t="e">
        <f t="shared" ref="E120:E122" si="60">(F120/(1-(J120/1000))*((P120-3.3)/100)-G120-I120)*(1-(J120/1000))</f>
        <v>#DIV/0!</v>
      </c>
      <c r="F120" s="528"/>
      <c r="G120" s="562">
        <f t="shared" si="19"/>
        <v>0</v>
      </c>
      <c r="H120" s="563">
        <f t="shared" si="58"/>
        <v>1.1000000000000001</v>
      </c>
      <c r="I120" s="563" t="e">
        <f t="shared" si="59"/>
        <v>#DIV/0!</v>
      </c>
      <c r="J120" s="529"/>
      <c r="K120" s="530"/>
      <c r="L120" s="560">
        <f t="shared" si="52"/>
        <v>0</v>
      </c>
      <c r="M120" s="560" t="e">
        <f t="shared" si="48"/>
        <v>#DIV/0!</v>
      </c>
      <c r="N120" s="818"/>
      <c r="O120" s="572"/>
      <c r="P120" s="560" t="e">
        <f t="shared" si="37"/>
        <v>#DIV/0!</v>
      </c>
      <c r="Q120" s="557">
        <f t="shared" ref="Q120:Q122" si="61">(AW120-AS120)/6.25</f>
        <v>0</v>
      </c>
      <c r="R120" s="559" t="e">
        <f t="shared" si="33"/>
        <v>#DIV/0!</v>
      </c>
      <c r="S120" s="556">
        <f t="shared" si="13"/>
        <v>0</v>
      </c>
      <c r="T120" s="531"/>
      <c r="U120" s="531"/>
      <c r="V120" s="531"/>
      <c r="W120" s="531"/>
      <c r="X120" s="531"/>
      <c r="Y120" s="531"/>
      <c r="Z120" s="531"/>
      <c r="AA120" s="531"/>
      <c r="AB120" s="529"/>
      <c r="AC120" s="532"/>
      <c r="AD120" s="532"/>
      <c r="AE120" s="531"/>
      <c r="AF120" s="531">
        <v>2.9</v>
      </c>
      <c r="AG120" s="559" t="e">
        <f t="shared" si="55"/>
        <v>#DIV/0!</v>
      </c>
      <c r="AH120" s="529"/>
      <c r="AI120" s="529"/>
      <c r="AJ120" s="531"/>
      <c r="AK120" s="531"/>
      <c r="AL120" s="531"/>
      <c r="AM120" s="531"/>
      <c r="AN120" s="533"/>
      <c r="AO120" s="534"/>
      <c r="AP120" s="549">
        <v>2.9</v>
      </c>
      <c r="AR120" s="870" t="e">
        <f t="shared" si="43"/>
        <v>#DIV/0!</v>
      </c>
      <c r="AS120" s="541">
        <f t="shared" si="44"/>
        <v>0</v>
      </c>
      <c r="AT120" s="542" t="e">
        <f t="shared" si="45"/>
        <v>#DIV/0!</v>
      </c>
      <c r="AU120" s="547" t="e">
        <f t="shared" si="56"/>
        <v>#DIV/0!</v>
      </c>
      <c r="AV120" s="536">
        <f t="shared" si="15"/>
        <v>0</v>
      </c>
      <c r="AW120" s="536">
        <f t="shared" si="46"/>
        <v>0</v>
      </c>
      <c r="AX120" s="544">
        <f t="shared" si="57"/>
        <v>0</v>
      </c>
    </row>
    <row r="121" spans="1:50" ht="17.25" customHeight="1" x14ac:dyDescent="0.25">
      <c r="A121" s="834" t="s">
        <v>271</v>
      </c>
      <c r="B121" s="526"/>
      <c r="C121" s="527"/>
      <c r="D121" s="564">
        <f t="shared" ref="D121:D122" si="62">(F121*((O121-3.3)/100))-G121-H121</f>
        <v>-1.1000000000000001</v>
      </c>
      <c r="E121" s="565" t="e">
        <f t="shared" si="60"/>
        <v>#DIV/0!</v>
      </c>
      <c r="F121" s="528"/>
      <c r="G121" s="562">
        <f t="shared" si="19"/>
        <v>0</v>
      </c>
      <c r="H121" s="563">
        <f t="shared" si="58"/>
        <v>1.1000000000000001</v>
      </c>
      <c r="I121" s="563" t="e">
        <f t="shared" si="59"/>
        <v>#DIV/0!</v>
      </c>
      <c r="J121" s="529"/>
      <c r="K121" s="530"/>
      <c r="L121" s="560">
        <f t="shared" si="52"/>
        <v>0</v>
      </c>
      <c r="M121" s="560" t="e">
        <f t="shared" si="48"/>
        <v>#DIV/0!</v>
      </c>
      <c r="N121" s="818"/>
      <c r="O121" s="572"/>
      <c r="P121" s="560" t="e">
        <f t="shared" si="37"/>
        <v>#DIV/0!</v>
      </c>
      <c r="Q121" s="557">
        <f t="shared" si="61"/>
        <v>0</v>
      </c>
      <c r="R121" s="559" t="e">
        <f t="shared" si="33"/>
        <v>#DIV/0!</v>
      </c>
      <c r="S121" s="556">
        <f t="shared" ref="S121:S122" si="63">U121+V121-T121</f>
        <v>0</v>
      </c>
      <c r="T121" s="531"/>
      <c r="U121" s="531"/>
      <c r="V121" s="531"/>
      <c r="W121" s="531"/>
      <c r="X121" s="531"/>
      <c r="Y121" s="531"/>
      <c r="Z121" s="531"/>
      <c r="AA121" s="531"/>
      <c r="AB121" s="529"/>
      <c r="AC121" s="532"/>
      <c r="AD121" s="532"/>
      <c r="AE121" s="531"/>
      <c r="AF121" s="531">
        <v>2.9</v>
      </c>
      <c r="AG121" s="559" t="e">
        <f t="shared" si="55"/>
        <v>#DIV/0!</v>
      </c>
      <c r="AH121" s="529"/>
      <c r="AI121" s="529"/>
      <c r="AJ121" s="531"/>
      <c r="AK121" s="531"/>
      <c r="AL121" s="531"/>
      <c r="AM121" s="531"/>
      <c r="AN121" s="533"/>
      <c r="AO121" s="534"/>
      <c r="AP121" s="549">
        <v>2.9</v>
      </c>
      <c r="AR121" s="870" t="e">
        <f t="shared" si="43"/>
        <v>#DIV/0!</v>
      </c>
      <c r="AS121" s="541">
        <f t="shared" si="44"/>
        <v>0</v>
      </c>
      <c r="AT121" s="542" t="e">
        <f t="shared" si="45"/>
        <v>#DIV/0!</v>
      </c>
      <c r="AU121" s="547" t="e">
        <f t="shared" si="56"/>
        <v>#DIV/0!</v>
      </c>
      <c r="AV121" s="536">
        <f t="shared" ref="AV121:AV122" si="64">AS121*78/100*85/100</f>
        <v>0</v>
      </c>
      <c r="AW121" s="536">
        <f t="shared" si="46"/>
        <v>0</v>
      </c>
      <c r="AX121" s="544">
        <f t="shared" si="57"/>
        <v>0</v>
      </c>
    </row>
    <row r="122" spans="1:50" ht="17.25" customHeight="1" x14ac:dyDescent="0.25">
      <c r="A122" s="834" t="s">
        <v>271</v>
      </c>
      <c r="B122" s="526"/>
      <c r="C122" s="527"/>
      <c r="D122" s="564">
        <f t="shared" si="62"/>
        <v>-1.1000000000000001</v>
      </c>
      <c r="E122" s="565" t="e">
        <f t="shared" si="60"/>
        <v>#DIV/0!</v>
      </c>
      <c r="F122" s="528"/>
      <c r="G122" s="562">
        <f t="shared" si="19"/>
        <v>0</v>
      </c>
      <c r="H122" s="563">
        <f t="shared" si="58"/>
        <v>1.1000000000000001</v>
      </c>
      <c r="I122" s="563" t="e">
        <f t="shared" si="59"/>
        <v>#DIV/0!</v>
      </c>
      <c r="J122" s="529"/>
      <c r="K122" s="530"/>
      <c r="L122" s="560">
        <f t="shared" si="52"/>
        <v>0</v>
      </c>
      <c r="M122" s="560" t="e">
        <f t="shared" si="48"/>
        <v>#DIV/0!</v>
      </c>
      <c r="N122" s="818"/>
      <c r="O122" s="572"/>
      <c r="P122" s="560" t="e">
        <f t="shared" si="37"/>
        <v>#DIV/0!</v>
      </c>
      <c r="Q122" s="557">
        <f t="shared" si="61"/>
        <v>0</v>
      </c>
      <c r="R122" s="559" t="e">
        <f t="shared" si="33"/>
        <v>#DIV/0!</v>
      </c>
      <c r="S122" s="556">
        <f t="shared" si="63"/>
        <v>0</v>
      </c>
      <c r="T122" s="531"/>
      <c r="U122" s="531"/>
      <c r="V122" s="531"/>
      <c r="W122" s="531"/>
      <c r="X122" s="531"/>
      <c r="Y122" s="531"/>
      <c r="Z122" s="531"/>
      <c r="AA122" s="531"/>
      <c r="AB122" s="529"/>
      <c r="AC122" s="532"/>
      <c r="AD122" s="532"/>
      <c r="AE122" s="531"/>
      <c r="AF122" s="531">
        <v>2.9</v>
      </c>
      <c r="AG122" s="559" t="e">
        <f t="shared" si="55"/>
        <v>#DIV/0!</v>
      </c>
      <c r="AH122" s="529"/>
      <c r="AI122" s="529"/>
      <c r="AJ122" s="531"/>
      <c r="AK122" s="531"/>
      <c r="AL122" s="531"/>
      <c r="AM122" s="531"/>
      <c r="AN122" s="533"/>
      <c r="AO122" s="534"/>
      <c r="AP122" s="549">
        <v>2.9</v>
      </c>
      <c r="AR122" s="870" t="e">
        <f t="shared" si="43"/>
        <v>#DIV/0!</v>
      </c>
      <c r="AS122" s="541">
        <f t="shared" si="44"/>
        <v>0</v>
      </c>
      <c r="AT122" s="542" t="e">
        <f t="shared" si="45"/>
        <v>#DIV/0!</v>
      </c>
      <c r="AU122" s="547" t="e">
        <f t="shared" si="56"/>
        <v>#DIV/0!</v>
      </c>
      <c r="AV122" s="536">
        <f t="shared" si="64"/>
        <v>0</v>
      </c>
      <c r="AW122" s="536">
        <f t="shared" si="46"/>
        <v>0</v>
      </c>
      <c r="AX122" s="544">
        <f t="shared" si="57"/>
        <v>0</v>
      </c>
    </row>
    <row r="123" spans="1:50" ht="63.75" customHeight="1" x14ac:dyDescent="0.25">
      <c r="T123" s="830"/>
      <c r="U123" s="830"/>
      <c r="W123" s="830"/>
      <c r="X123" s="830"/>
      <c r="Y123" s="830"/>
      <c r="Z123" s="830"/>
    </row>
    <row r="124" spans="1:50" ht="63.75" customHeight="1" x14ac:dyDescent="0.25">
      <c r="T124" s="830"/>
      <c r="U124" s="830"/>
      <c r="W124" s="830"/>
      <c r="X124" s="830"/>
      <c r="Y124" s="830"/>
      <c r="Z124" s="830"/>
    </row>
    <row r="125" spans="1:50" ht="63.75" customHeight="1" x14ac:dyDescent="0.25">
      <c r="T125" s="830"/>
      <c r="U125" s="830"/>
      <c r="W125" s="830"/>
      <c r="X125" s="830"/>
      <c r="Y125" s="830"/>
      <c r="Z125" s="830"/>
    </row>
    <row r="126" spans="1:50" ht="63.75" customHeight="1" x14ac:dyDescent="0.25">
      <c r="T126" s="830"/>
      <c r="U126" s="830"/>
      <c r="W126" s="830"/>
      <c r="X126" s="830"/>
      <c r="Y126" s="830"/>
      <c r="Z126" s="830"/>
    </row>
    <row r="127" spans="1:50" ht="63.75" customHeight="1" x14ac:dyDescent="0.25">
      <c r="T127" s="830"/>
      <c r="U127" s="830"/>
      <c r="W127" s="830"/>
      <c r="X127" s="830"/>
      <c r="Y127" s="830"/>
      <c r="Z127" s="830"/>
    </row>
    <row r="128" spans="1:50" ht="63.75" customHeight="1" x14ac:dyDescent="0.25">
      <c r="T128" s="830"/>
      <c r="U128" s="830"/>
      <c r="W128" s="830"/>
      <c r="X128" s="830"/>
      <c r="Y128" s="830"/>
      <c r="Z128" s="830"/>
    </row>
    <row r="129" spans="20:26" ht="63.75" customHeight="1" x14ac:dyDescent="0.25">
      <c r="T129" s="830"/>
      <c r="U129" s="830"/>
      <c r="W129" s="830"/>
      <c r="X129" s="830"/>
      <c r="Y129" s="830"/>
      <c r="Z129" s="830"/>
    </row>
    <row r="130" spans="20:26" ht="63.75" customHeight="1" x14ac:dyDescent="0.25">
      <c r="T130" s="830"/>
      <c r="U130" s="830"/>
      <c r="W130" s="830"/>
      <c r="X130" s="830"/>
      <c r="Y130" s="830"/>
      <c r="Z130" s="830"/>
    </row>
    <row r="131" spans="20:26" ht="63.75" customHeight="1" x14ac:dyDescent="0.25">
      <c r="T131" s="830"/>
      <c r="U131" s="830"/>
      <c r="W131" s="830"/>
      <c r="X131" s="830"/>
      <c r="Y131" s="830"/>
      <c r="Z131" s="830"/>
    </row>
    <row r="132" spans="20:26" ht="63.75" customHeight="1" x14ac:dyDescent="0.25">
      <c r="T132" s="830"/>
      <c r="U132" s="830"/>
      <c r="W132" s="830"/>
      <c r="X132" s="830"/>
      <c r="Y132" s="830"/>
      <c r="Z132" s="830"/>
    </row>
    <row r="133" spans="20:26" ht="63.75" customHeight="1" x14ac:dyDescent="0.25">
      <c r="T133" s="830"/>
      <c r="U133" s="830"/>
      <c r="W133" s="830"/>
      <c r="X133" s="830"/>
      <c r="Y133" s="830"/>
      <c r="Z133" s="830"/>
    </row>
    <row r="134" spans="20:26" ht="63.75" customHeight="1" x14ac:dyDescent="0.25">
      <c r="T134" s="830"/>
      <c r="U134" s="830"/>
      <c r="W134" s="830"/>
      <c r="X134" s="830"/>
      <c r="Y134" s="830"/>
      <c r="Z134" s="830"/>
    </row>
    <row r="135" spans="20:26" ht="63.75" customHeight="1" x14ac:dyDescent="0.25">
      <c r="T135" s="830"/>
      <c r="U135" s="830"/>
      <c r="W135" s="830"/>
      <c r="X135" s="830"/>
      <c r="Y135" s="830"/>
      <c r="Z135" s="830"/>
    </row>
    <row r="136" spans="20:26" ht="63.75" customHeight="1" x14ac:dyDescent="0.25">
      <c r="T136" s="830"/>
      <c r="U136" s="830"/>
      <c r="W136" s="830"/>
      <c r="X136" s="830"/>
      <c r="Y136" s="830"/>
      <c r="Z136" s="830"/>
    </row>
    <row r="137" spans="20:26" ht="63.75" customHeight="1" x14ac:dyDescent="0.25">
      <c r="T137" s="830"/>
      <c r="U137" s="830"/>
      <c r="W137" s="830"/>
      <c r="X137" s="830"/>
      <c r="Y137" s="830"/>
      <c r="Z137" s="830"/>
    </row>
    <row r="138" spans="20:26" ht="63.75" customHeight="1" x14ac:dyDescent="0.25">
      <c r="T138" s="830"/>
      <c r="U138" s="830"/>
      <c r="W138" s="830"/>
      <c r="X138" s="830"/>
      <c r="Y138" s="830"/>
      <c r="Z138" s="830"/>
    </row>
    <row r="139" spans="20:26" ht="63.75" customHeight="1" x14ac:dyDescent="0.25">
      <c r="T139" s="830"/>
      <c r="U139" s="830"/>
      <c r="W139" s="830"/>
      <c r="X139" s="830"/>
      <c r="Y139" s="830"/>
      <c r="Z139" s="830"/>
    </row>
    <row r="140" spans="20:26" ht="63.75" customHeight="1" x14ac:dyDescent="0.25">
      <c r="T140" s="830"/>
      <c r="U140" s="830"/>
      <c r="W140" s="830"/>
      <c r="X140" s="830"/>
      <c r="Y140" s="830"/>
      <c r="Z140" s="830"/>
    </row>
    <row r="141" spans="20:26" ht="63.75" customHeight="1" x14ac:dyDescent="0.25">
      <c r="T141" s="830"/>
      <c r="U141" s="830"/>
      <c r="W141" s="830"/>
      <c r="X141" s="830"/>
      <c r="Y141" s="830"/>
      <c r="Z141" s="830"/>
    </row>
    <row r="142" spans="20:26" ht="63.75" customHeight="1" x14ac:dyDescent="0.25">
      <c r="T142" s="830"/>
      <c r="U142" s="830"/>
      <c r="W142" s="830"/>
      <c r="X142" s="830"/>
      <c r="Y142" s="830"/>
      <c r="Z142" s="830"/>
    </row>
    <row r="143" spans="20:26" ht="63.75" customHeight="1" x14ac:dyDescent="0.25">
      <c r="T143" s="830"/>
      <c r="U143" s="830"/>
      <c r="W143" s="830"/>
      <c r="X143" s="830"/>
      <c r="Y143" s="830"/>
      <c r="Z143" s="830"/>
    </row>
    <row r="144" spans="20:26" ht="63.75" customHeight="1" x14ac:dyDescent="0.25">
      <c r="T144" s="830"/>
      <c r="U144" s="830"/>
      <c r="W144" s="830"/>
      <c r="X144" s="830"/>
      <c r="Y144" s="830"/>
      <c r="Z144" s="830"/>
    </row>
    <row r="145" spans="20:26" ht="63.75" customHeight="1" x14ac:dyDescent="0.25">
      <c r="T145" s="830"/>
      <c r="U145" s="830"/>
      <c r="W145" s="830"/>
      <c r="X145" s="830"/>
      <c r="Y145" s="830"/>
      <c r="Z145" s="830"/>
    </row>
    <row r="146" spans="20:26" ht="63.75" customHeight="1" x14ac:dyDescent="0.25">
      <c r="T146" s="830"/>
      <c r="U146" s="830"/>
      <c r="W146" s="830"/>
      <c r="X146" s="830"/>
      <c r="Y146" s="830"/>
      <c r="Z146" s="830"/>
    </row>
    <row r="147" spans="20:26" ht="63.75" customHeight="1" x14ac:dyDescent="0.25">
      <c r="T147" s="830"/>
      <c r="U147" s="830"/>
      <c r="W147" s="830"/>
      <c r="X147" s="830"/>
      <c r="Y147" s="830"/>
      <c r="Z147" s="830"/>
    </row>
    <row r="148" spans="20:26" ht="63.75" customHeight="1" x14ac:dyDescent="0.25">
      <c r="T148" s="830"/>
      <c r="U148" s="830"/>
      <c r="W148" s="830"/>
      <c r="X148" s="830"/>
      <c r="Y148" s="830"/>
      <c r="Z148" s="830"/>
    </row>
    <row r="149" spans="20:26" ht="63.75" customHeight="1" x14ac:dyDescent="0.25">
      <c r="T149" s="830"/>
      <c r="U149" s="830"/>
      <c r="W149" s="830"/>
      <c r="X149" s="830"/>
      <c r="Y149" s="830"/>
      <c r="Z149" s="830"/>
    </row>
    <row r="150" spans="20:26" ht="63.75" customHeight="1" x14ac:dyDescent="0.25">
      <c r="T150" s="830"/>
      <c r="U150" s="830"/>
      <c r="W150" s="830"/>
      <c r="X150" s="830"/>
      <c r="Y150" s="830"/>
      <c r="Z150" s="830"/>
    </row>
    <row r="151" spans="20:26" ht="63.75" customHeight="1" x14ac:dyDescent="0.25">
      <c r="T151" s="830"/>
      <c r="U151" s="830"/>
      <c r="W151" s="830"/>
      <c r="X151" s="830"/>
      <c r="Y151" s="830"/>
      <c r="Z151" s="830"/>
    </row>
    <row r="152" spans="20:26" ht="63.75" customHeight="1" x14ac:dyDescent="0.25">
      <c r="T152" s="830"/>
      <c r="U152" s="830"/>
      <c r="W152" s="830"/>
      <c r="X152" s="830"/>
      <c r="Y152" s="830"/>
      <c r="Z152" s="830"/>
    </row>
    <row r="153" spans="20:26" ht="63.75" customHeight="1" x14ac:dyDescent="0.25">
      <c r="T153" s="830"/>
      <c r="U153" s="830"/>
      <c r="W153" s="830"/>
      <c r="X153" s="830"/>
      <c r="Y153" s="830"/>
      <c r="Z153" s="830"/>
    </row>
    <row r="154" spans="20:26" ht="63.75" customHeight="1" x14ac:dyDescent="0.25">
      <c r="T154" s="830"/>
      <c r="U154" s="830"/>
      <c r="W154" s="830"/>
      <c r="X154" s="830"/>
      <c r="Y154" s="830"/>
      <c r="Z154" s="830"/>
    </row>
    <row r="155" spans="20:26" ht="63.75" customHeight="1" x14ac:dyDescent="0.25">
      <c r="T155" s="830"/>
      <c r="U155" s="830"/>
      <c r="W155" s="830"/>
      <c r="X155" s="830"/>
      <c r="Y155" s="830"/>
      <c r="Z155" s="830"/>
    </row>
    <row r="156" spans="20:26" ht="63.75" customHeight="1" x14ac:dyDescent="0.25">
      <c r="T156" s="830"/>
      <c r="U156" s="830"/>
      <c r="W156" s="830"/>
      <c r="X156" s="830"/>
      <c r="Y156" s="830"/>
      <c r="Z156" s="830"/>
    </row>
    <row r="157" spans="20:26" ht="63.75" customHeight="1" x14ac:dyDescent="0.25">
      <c r="T157" s="830"/>
      <c r="U157" s="830"/>
      <c r="W157" s="830"/>
      <c r="X157" s="830"/>
      <c r="Y157" s="830"/>
      <c r="Z157" s="830"/>
    </row>
    <row r="158" spans="20:26" ht="63.75" customHeight="1" x14ac:dyDescent="0.25">
      <c r="T158" s="830"/>
      <c r="U158" s="830"/>
      <c r="W158" s="830"/>
      <c r="X158" s="830"/>
      <c r="Y158" s="830"/>
      <c r="Z158" s="830"/>
    </row>
    <row r="159" spans="20:26" ht="63.75" customHeight="1" x14ac:dyDescent="0.25">
      <c r="T159" s="830"/>
      <c r="U159" s="830"/>
      <c r="W159" s="830"/>
      <c r="X159" s="830"/>
      <c r="Y159" s="830"/>
      <c r="Z159" s="830"/>
    </row>
    <row r="160" spans="20:26" ht="63.75" customHeight="1" x14ac:dyDescent="0.25">
      <c r="T160" s="830"/>
      <c r="U160" s="830"/>
      <c r="W160" s="830"/>
      <c r="X160" s="830"/>
      <c r="Y160" s="830"/>
      <c r="Z160" s="830"/>
    </row>
    <row r="161" spans="20:26" ht="63.75" customHeight="1" x14ac:dyDescent="0.25">
      <c r="T161" s="830"/>
      <c r="U161" s="830"/>
      <c r="W161" s="830"/>
      <c r="X161" s="830"/>
      <c r="Y161" s="830"/>
      <c r="Z161" s="830"/>
    </row>
    <row r="162" spans="20:26" ht="63.75" customHeight="1" x14ac:dyDescent="0.25">
      <c r="T162" s="830"/>
      <c r="U162" s="830"/>
      <c r="W162" s="830"/>
      <c r="X162" s="830"/>
      <c r="Y162" s="830"/>
      <c r="Z162" s="830"/>
    </row>
    <row r="163" spans="20:26" ht="63.75" customHeight="1" x14ac:dyDescent="0.25">
      <c r="T163" s="830"/>
      <c r="U163" s="830"/>
      <c r="W163" s="830"/>
      <c r="X163" s="830"/>
      <c r="Y163" s="830"/>
      <c r="Z163" s="830"/>
    </row>
    <row r="164" spans="20:26" ht="63.75" customHeight="1" x14ac:dyDescent="0.25">
      <c r="T164" s="830"/>
      <c r="U164" s="830"/>
      <c r="W164" s="830"/>
      <c r="X164" s="830"/>
      <c r="Y164" s="830"/>
      <c r="Z164" s="830"/>
    </row>
    <row r="165" spans="20:26" ht="63.75" customHeight="1" x14ac:dyDescent="0.25">
      <c r="T165" s="830"/>
      <c r="U165" s="830"/>
      <c r="W165" s="830"/>
      <c r="X165" s="830"/>
      <c r="Y165" s="830"/>
      <c r="Z165" s="830"/>
    </row>
    <row r="166" spans="20:26" ht="63.75" customHeight="1" x14ac:dyDescent="0.25">
      <c r="T166" s="830"/>
      <c r="U166" s="830"/>
      <c r="W166" s="830"/>
      <c r="X166" s="830"/>
      <c r="Y166" s="830"/>
      <c r="Z166" s="830"/>
    </row>
    <row r="167" spans="20:26" ht="63.75" customHeight="1" x14ac:dyDescent="0.25">
      <c r="T167" s="830"/>
      <c r="U167" s="830"/>
      <c r="W167" s="830"/>
      <c r="X167" s="830"/>
      <c r="Y167" s="830"/>
      <c r="Z167" s="830"/>
    </row>
    <row r="168" spans="20:26" ht="63.75" customHeight="1" x14ac:dyDescent="0.25">
      <c r="T168" s="830"/>
      <c r="U168" s="830"/>
      <c r="W168" s="830"/>
      <c r="X168" s="830"/>
      <c r="Y168" s="830"/>
      <c r="Z168" s="830"/>
    </row>
    <row r="169" spans="20:26" ht="63.75" customHeight="1" x14ac:dyDescent="0.25">
      <c r="T169" s="830"/>
      <c r="U169" s="830"/>
      <c r="W169" s="830"/>
      <c r="X169" s="830"/>
      <c r="Y169" s="830"/>
      <c r="Z169" s="830"/>
    </row>
    <row r="170" spans="20:26" ht="63.75" customHeight="1" x14ac:dyDescent="0.25">
      <c r="T170" s="830"/>
      <c r="U170" s="830"/>
      <c r="W170" s="830"/>
      <c r="X170" s="830"/>
      <c r="Y170" s="830"/>
      <c r="Z170" s="830"/>
    </row>
    <row r="171" spans="20:26" ht="63.75" customHeight="1" x14ac:dyDescent="0.25">
      <c r="T171" s="830"/>
      <c r="U171" s="830"/>
      <c r="W171" s="830"/>
      <c r="X171" s="830"/>
      <c r="Y171" s="830"/>
      <c r="Z171" s="830"/>
    </row>
    <row r="172" spans="20:26" ht="63.75" customHeight="1" x14ac:dyDescent="0.25">
      <c r="T172" s="830"/>
      <c r="U172" s="830"/>
      <c r="W172" s="830"/>
      <c r="X172" s="830"/>
      <c r="Y172" s="830"/>
      <c r="Z172" s="830"/>
    </row>
    <row r="173" spans="20:26" ht="63.75" customHeight="1" x14ac:dyDescent="0.25">
      <c r="T173" s="830"/>
      <c r="U173" s="830"/>
      <c r="W173" s="830"/>
      <c r="X173" s="830"/>
      <c r="Y173" s="830"/>
      <c r="Z173" s="830"/>
    </row>
    <row r="174" spans="20:26" ht="63.75" customHeight="1" x14ac:dyDescent="0.25">
      <c r="T174" s="830"/>
      <c r="U174" s="830"/>
      <c r="W174" s="830"/>
      <c r="X174" s="830"/>
      <c r="Y174" s="830"/>
      <c r="Z174" s="830"/>
    </row>
    <row r="175" spans="20:26" ht="63.75" customHeight="1" x14ac:dyDescent="0.25">
      <c r="T175" s="830"/>
      <c r="U175" s="830"/>
      <c r="W175" s="830"/>
      <c r="X175" s="830"/>
      <c r="Y175" s="830"/>
      <c r="Z175" s="830"/>
    </row>
    <row r="176" spans="20:26" ht="63.75" customHeight="1" x14ac:dyDescent="0.25">
      <c r="T176" s="830"/>
      <c r="U176" s="830"/>
      <c r="W176" s="830"/>
      <c r="X176" s="830"/>
      <c r="Y176" s="830"/>
      <c r="Z176" s="830"/>
    </row>
    <row r="177" spans="20:26" ht="63.75" customHeight="1" x14ac:dyDescent="0.25">
      <c r="T177" s="840"/>
      <c r="U177" s="840"/>
      <c r="W177" s="840"/>
      <c r="Z177" s="840"/>
    </row>
    <row r="178" spans="20:26" ht="63.75" customHeight="1" x14ac:dyDescent="0.25">
      <c r="T178" s="840"/>
      <c r="U178" s="840"/>
      <c r="W178" s="840"/>
      <c r="Z178" s="840"/>
    </row>
    <row r="179" spans="20:26" ht="63.75" customHeight="1" x14ac:dyDescent="0.25">
      <c r="T179" s="840"/>
      <c r="U179" s="840"/>
      <c r="W179" s="840"/>
      <c r="Z179" s="840"/>
    </row>
    <row r="180" spans="20:26" ht="63.75" customHeight="1" x14ac:dyDescent="0.25">
      <c r="T180" s="840"/>
      <c r="U180" s="840"/>
      <c r="W180" s="840"/>
      <c r="Z180" s="840"/>
    </row>
    <row r="181" spans="20:26" ht="63.75" customHeight="1" x14ac:dyDescent="0.25">
      <c r="T181" s="840"/>
      <c r="U181" s="840"/>
      <c r="W181" s="840"/>
      <c r="Z181" s="840"/>
    </row>
    <row r="182" spans="20:26" ht="63.75" customHeight="1" x14ac:dyDescent="0.25">
      <c r="T182" s="840"/>
      <c r="U182" s="840"/>
      <c r="W182" s="840"/>
      <c r="Z182" s="840"/>
    </row>
    <row r="183" spans="20:26" ht="63.75" customHeight="1" x14ac:dyDescent="0.25">
      <c r="T183" s="840"/>
      <c r="U183" s="840"/>
      <c r="W183" s="840"/>
      <c r="Z183" s="840"/>
    </row>
    <row r="184" spans="20:26" ht="63.75" customHeight="1" x14ac:dyDescent="0.25">
      <c r="T184" s="840"/>
      <c r="U184" s="840"/>
      <c r="W184" s="840"/>
      <c r="Z184" s="840"/>
    </row>
    <row r="185" spans="20:26" ht="63.75" customHeight="1" x14ac:dyDescent="0.25">
      <c r="T185" s="840"/>
      <c r="U185" s="840"/>
      <c r="W185" s="840"/>
      <c r="Z185" s="840"/>
    </row>
    <row r="186" spans="20:26" ht="63.75" customHeight="1" x14ac:dyDescent="0.25">
      <c r="T186" s="840"/>
      <c r="U186" s="840"/>
      <c r="W186" s="840"/>
      <c r="Z186" s="840"/>
    </row>
    <row r="187" spans="20:26" ht="63.75" customHeight="1" x14ac:dyDescent="0.25">
      <c r="T187" s="840"/>
      <c r="U187" s="840"/>
      <c r="W187" s="840"/>
      <c r="Z187" s="840"/>
    </row>
    <row r="188" spans="20:26" ht="63.75" customHeight="1" x14ac:dyDescent="0.25">
      <c r="T188" s="840"/>
      <c r="U188" s="840"/>
      <c r="W188" s="840"/>
      <c r="Z188" s="840"/>
    </row>
    <row r="189" spans="20:26" ht="63.75" customHeight="1" x14ac:dyDescent="0.25">
      <c r="T189" s="840"/>
      <c r="U189" s="840"/>
      <c r="W189" s="840"/>
      <c r="Z189" s="840"/>
    </row>
    <row r="190" spans="20:26" ht="63.75" customHeight="1" x14ac:dyDescent="0.25">
      <c r="T190" s="840"/>
      <c r="U190" s="840"/>
      <c r="W190" s="840"/>
      <c r="Z190" s="840"/>
    </row>
    <row r="191" spans="20:26" ht="63.75" customHeight="1" x14ac:dyDescent="0.25">
      <c r="T191" s="840"/>
      <c r="U191" s="840"/>
      <c r="W191" s="840"/>
      <c r="Z191" s="840"/>
    </row>
    <row r="192" spans="20:26" ht="63.75" customHeight="1" x14ac:dyDescent="0.25">
      <c r="T192" s="840"/>
      <c r="U192" s="840"/>
      <c r="W192" s="840"/>
      <c r="Z192" s="840"/>
    </row>
    <row r="193" spans="20:26" ht="63.75" customHeight="1" x14ac:dyDescent="0.25">
      <c r="T193" s="840"/>
      <c r="U193" s="840"/>
      <c r="W193" s="840"/>
      <c r="Z193" s="840"/>
    </row>
    <row r="194" spans="20:26" ht="63.75" customHeight="1" x14ac:dyDescent="0.25">
      <c r="T194" s="840"/>
      <c r="U194" s="840"/>
      <c r="W194" s="840"/>
      <c r="Z194" s="840"/>
    </row>
    <row r="195" spans="20:26" ht="63.75" customHeight="1" x14ac:dyDescent="0.25">
      <c r="T195" s="840"/>
      <c r="U195" s="840"/>
      <c r="W195" s="840"/>
      <c r="Z195" s="840"/>
    </row>
    <row r="196" spans="20:26" ht="63.75" customHeight="1" x14ac:dyDescent="0.25">
      <c r="T196" s="840"/>
      <c r="U196" s="840"/>
      <c r="W196" s="840"/>
      <c r="Z196" s="840"/>
    </row>
    <row r="197" spans="20:26" ht="63.75" customHeight="1" x14ac:dyDescent="0.25">
      <c r="T197" s="840"/>
      <c r="U197" s="840"/>
      <c r="W197" s="840"/>
      <c r="Z197" s="840"/>
    </row>
    <row r="198" spans="20:26" ht="63.75" customHeight="1" x14ac:dyDescent="0.25">
      <c r="T198" s="840"/>
      <c r="U198" s="840"/>
      <c r="W198" s="840"/>
      <c r="Z198" s="840"/>
    </row>
    <row r="199" spans="20:26" ht="63.75" customHeight="1" x14ac:dyDescent="0.25">
      <c r="T199" s="840"/>
      <c r="U199" s="840"/>
      <c r="W199" s="840"/>
      <c r="Z199" s="840"/>
    </row>
    <row r="200" spans="20:26" ht="63.75" customHeight="1" x14ac:dyDescent="0.25">
      <c r="T200" s="840"/>
      <c r="U200" s="840"/>
      <c r="W200" s="840"/>
      <c r="Z200" s="840"/>
    </row>
    <row r="201" spans="20:26" ht="63.75" customHeight="1" x14ac:dyDescent="0.25">
      <c r="T201" s="840"/>
      <c r="U201" s="840"/>
      <c r="W201" s="840"/>
      <c r="Z201" s="840"/>
    </row>
    <row r="202" spans="20:26" ht="63.75" customHeight="1" x14ac:dyDescent="0.25">
      <c r="T202" s="840"/>
      <c r="U202" s="840"/>
      <c r="W202" s="840"/>
      <c r="Z202" s="840"/>
    </row>
    <row r="203" spans="20:26" ht="63.75" customHeight="1" x14ac:dyDescent="0.25">
      <c r="T203" s="840"/>
      <c r="U203" s="840"/>
      <c r="W203" s="840"/>
      <c r="Z203" s="840"/>
    </row>
    <row r="204" spans="20:26" ht="63.75" customHeight="1" x14ac:dyDescent="0.25">
      <c r="T204" s="840"/>
      <c r="U204" s="840"/>
      <c r="W204" s="840"/>
      <c r="Z204" s="840"/>
    </row>
    <row r="205" spans="20:26" ht="63.75" customHeight="1" x14ac:dyDescent="0.25">
      <c r="T205" s="840"/>
      <c r="U205" s="840"/>
      <c r="W205" s="840"/>
      <c r="Z205" s="840"/>
    </row>
    <row r="206" spans="20:26" ht="63.75" customHeight="1" x14ac:dyDescent="0.25">
      <c r="T206" s="840"/>
      <c r="U206" s="840"/>
      <c r="W206" s="840"/>
      <c r="Z206" s="840"/>
    </row>
    <row r="207" spans="20:26" ht="63.75" customHeight="1" x14ac:dyDescent="0.25">
      <c r="T207" s="840"/>
      <c r="U207" s="840"/>
      <c r="W207" s="840"/>
      <c r="Z207" s="840"/>
    </row>
    <row r="208" spans="20:26" ht="63.75" customHeight="1" x14ac:dyDescent="0.25">
      <c r="T208" s="840"/>
      <c r="U208" s="840"/>
      <c r="W208" s="840"/>
      <c r="Z208" s="840"/>
    </row>
    <row r="209" spans="20:26" ht="63.75" customHeight="1" x14ac:dyDescent="0.25">
      <c r="T209" s="840"/>
      <c r="U209" s="840"/>
      <c r="W209" s="840"/>
      <c r="Z209" s="840"/>
    </row>
    <row r="210" spans="20:26" ht="63.75" customHeight="1" x14ac:dyDescent="0.25">
      <c r="T210" s="840"/>
      <c r="U210" s="840"/>
      <c r="W210" s="840"/>
      <c r="Z210" s="840"/>
    </row>
    <row r="211" spans="20:26" ht="63.75" customHeight="1" x14ac:dyDescent="0.25">
      <c r="T211" s="840"/>
      <c r="U211" s="840"/>
      <c r="W211" s="840"/>
      <c r="Z211" s="840"/>
    </row>
    <row r="212" spans="20:26" ht="63.75" customHeight="1" x14ac:dyDescent="0.25">
      <c r="T212" s="840"/>
      <c r="U212" s="840"/>
      <c r="W212" s="840"/>
      <c r="Z212" s="840"/>
    </row>
    <row r="213" spans="20:26" ht="63.75" customHeight="1" x14ac:dyDescent="0.25">
      <c r="T213" s="840"/>
      <c r="U213" s="840"/>
      <c r="W213" s="840"/>
      <c r="Z213" s="840"/>
    </row>
    <row r="214" spans="20:26" ht="63.75" customHeight="1" x14ac:dyDescent="0.25">
      <c r="T214" s="840"/>
      <c r="U214" s="840"/>
      <c r="W214" s="840"/>
      <c r="Z214" s="840"/>
    </row>
    <row r="215" spans="20:26" ht="63.75" customHeight="1" x14ac:dyDescent="0.25">
      <c r="T215" s="840"/>
      <c r="U215" s="840"/>
      <c r="W215" s="840"/>
      <c r="Z215" s="840"/>
    </row>
    <row r="216" spans="20:26" ht="63.75" customHeight="1" x14ac:dyDescent="0.25">
      <c r="T216" s="840"/>
      <c r="U216" s="840"/>
      <c r="W216" s="840"/>
      <c r="Z216" s="840"/>
    </row>
    <row r="217" spans="20:26" ht="63.75" customHeight="1" x14ac:dyDescent="0.25">
      <c r="T217" s="840"/>
      <c r="U217" s="840"/>
      <c r="W217" s="840"/>
      <c r="Z217" s="840"/>
    </row>
    <row r="218" spans="20:26" ht="63.75" customHeight="1" x14ac:dyDescent="0.25">
      <c r="T218" s="840"/>
      <c r="U218" s="840"/>
      <c r="W218" s="840"/>
      <c r="Z218" s="840"/>
    </row>
    <row r="219" spans="20:26" ht="63.75" customHeight="1" x14ac:dyDescent="0.25">
      <c r="T219" s="840"/>
      <c r="U219" s="840"/>
      <c r="W219" s="840"/>
      <c r="Z219" s="840"/>
    </row>
    <row r="220" spans="20:26" ht="63.75" customHeight="1" x14ac:dyDescent="0.25">
      <c r="T220" s="840"/>
      <c r="U220" s="840"/>
      <c r="W220" s="840"/>
      <c r="Z220" s="840"/>
    </row>
    <row r="221" spans="20:26" ht="63.75" customHeight="1" x14ac:dyDescent="0.25">
      <c r="T221" s="840"/>
      <c r="U221" s="840"/>
      <c r="W221" s="840"/>
      <c r="Z221" s="840"/>
    </row>
    <row r="222" spans="20:26" ht="63.75" customHeight="1" x14ac:dyDescent="0.25">
      <c r="T222" s="840"/>
      <c r="U222" s="840"/>
      <c r="W222" s="840"/>
      <c r="Z222" s="840"/>
    </row>
    <row r="223" spans="20:26" ht="63.75" customHeight="1" x14ac:dyDescent="0.25">
      <c r="T223" s="840"/>
      <c r="U223" s="840"/>
      <c r="W223" s="840"/>
      <c r="Z223" s="840"/>
    </row>
    <row r="224" spans="20:26" ht="63.75" customHeight="1" x14ac:dyDescent="0.25">
      <c r="T224" s="840"/>
      <c r="U224" s="840"/>
      <c r="W224" s="840"/>
      <c r="Z224" s="840"/>
    </row>
    <row r="225" spans="20:26" ht="63.75" customHeight="1" x14ac:dyDescent="0.25">
      <c r="T225" s="840"/>
      <c r="U225" s="840"/>
      <c r="W225" s="840"/>
      <c r="Z225" s="840"/>
    </row>
    <row r="226" spans="20:26" ht="63.75" customHeight="1" x14ac:dyDescent="0.25">
      <c r="T226" s="840"/>
      <c r="U226" s="840"/>
      <c r="W226" s="840"/>
      <c r="Z226" s="840"/>
    </row>
    <row r="227" spans="20:26" ht="63.75" customHeight="1" x14ac:dyDescent="0.25">
      <c r="T227" s="840"/>
      <c r="U227" s="840"/>
      <c r="W227" s="840"/>
      <c r="Z227" s="840"/>
    </row>
    <row r="228" spans="20:26" ht="63.75" customHeight="1" x14ac:dyDescent="0.25">
      <c r="T228" s="840"/>
      <c r="U228" s="840"/>
      <c r="W228" s="840"/>
      <c r="Z228" s="840"/>
    </row>
    <row r="229" spans="20:26" ht="63.75" customHeight="1" x14ac:dyDescent="0.25">
      <c r="T229" s="840"/>
      <c r="U229" s="840"/>
      <c r="W229" s="840"/>
      <c r="Z229" s="840"/>
    </row>
    <row r="230" spans="20:26" ht="63.75" customHeight="1" x14ac:dyDescent="0.25">
      <c r="T230" s="840"/>
      <c r="U230" s="840"/>
      <c r="W230" s="840"/>
      <c r="Z230" s="840"/>
    </row>
    <row r="231" spans="20:26" ht="63.75" customHeight="1" x14ac:dyDescent="0.25">
      <c r="T231" s="840"/>
      <c r="U231" s="840"/>
      <c r="W231" s="840"/>
      <c r="Z231" s="840"/>
    </row>
    <row r="232" spans="20:26" ht="63.75" customHeight="1" x14ac:dyDescent="0.25">
      <c r="T232" s="840"/>
      <c r="U232" s="840"/>
      <c r="W232" s="840"/>
      <c r="Z232" s="840"/>
    </row>
    <row r="233" spans="20:26" ht="63.75" customHeight="1" x14ac:dyDescent="0.25">
      <c r="T233" s="840"/>
      <c r="U233" s="840"/>
      <c r="W233" s="840"/>
      <c r="Z233" s="840"/>
    </row>
    <row r="234" spans="20:26" ht="63.75" customHeight="1" x14ac:dyDescent="0.25">
      <c r="T234" s="840"/>
      <c r="U234" s="840"/>
      <c r="W234" s="840"/>
      <c r="Z234" s="840"/>
    </row>
    <row r="235" spans="20:26" ht="63.75" customHeight="1" x14ac:dyDescent="0.25">
      <c r="T235" s="840"/>
      <c r="U235" s="840"/>
      <c r="W235" s="840"/>
      <c r="Z235" s="840"/>
    </row>
    <row r="236" spans="20:26" ht="63.75" customHeight="1" x14ac:dyDescent="0.25">
      <c r="T236" s="840"/>
      <c r="U236" s="840"/>
      <c r="W236" s="840"/>
      <c r="Z236" s="840"/>
    </row>
    <row r="237" spans="20:26" ht="63.75" customHeight="1" x14ac:dyDescent="0.25">
      <c r="T237" s="840"/>
      <c r="U237" s="840"/>
      <c r="W237" s="840"/>
      <c r="Z237" s="840"/>
    </row>
    <row r="238" spans="20:26" ht="63.75" customHeight="1" x14ac:dyDescent="0.25">
      <c r="T238" s="840"/>
      <c r="U238" s="840"/>
      <c r="W238" s="840"/>
      <c r="Z238" s="840"/>
    </row>
    <row r="239" spans="20:26" ht="63.75" customHeight="1" x14ac:dyDescent="0.25">
      <c r="T239" s="840"/>
      <c r="U239" s="840"/>
      <c r="W239" s="840"/>
      <c r="Z239" s="840"/>
    </row>
    <row r="240" spans="20:26" ht="63.75" customHeight="1" x14ac:dyDescent="0.25">
      <c r="T240" s="840"/>
      <c r="U240" s="840"/>
      <c r="W240" s="840"/>
      <c r="Z240" s="840"/>
    </row>
    <row r="241" spans="20:26" ht="63.75" customHeight="1" x14ac:dyDescent="0.25">
      <c r="T241" s="840"/>
      <c r="U241" s="840"/>
      <c r="W241" s="840"/>
      <c r="Z241" s="840"/>
    </row>
    <row r="242" spans="20:26" ht="63.75" customHeight="1" x14ac:dyDescent="0.25">
      <c r="T242" s="840"/>
      <c r="U242" s="840"/>
      <c r="W242" s="840"/>
      <c r="Z242" s="840"/>
    </row>
    <row r="243" spans="20:26" ht="63.75" customHeight="1" x14ac:dyDescent="0.25">
      <c r="T243" s="840"/>
      <c r="U243" s="840"/>
      <c r="W243" s="840"/>
      <c r="Z243" s="840"/>
    </row>
    <row r="244" spans="20:26" ht="63.75" customHeight="1" x14ac:dyDescent="0.25">
      <c r="T244" s="840"/>
      <c r="U244" s="840"/>
      <c r="W244" s="840"/>
      <c r="Z244" s="840"/>
    </row>
    <row r="245" spans="20:26" ht="63.75" customHeight="1" x14ac:dyDescent="0.25">
      <c r="T245" s="840"/>
      <c r="U245" s="840"/>
      <c r="W245" s="840"/>
      <c r="Z245" s="840"/>
    </row>
    <row r="246" spans="20:26" ht="63.75" customHeight="1" x14ac:dyDescent="0.25">
      <c r="T246" s="840"/>
      <c r="U246" s="840"/>
      <c r="W246" s="840"/>
      <c r="Z246" s="840"/>
    </row>
    <row r="247" spans="20:26" ht="63.75" customHeight="1" x14ac:dyDescent="0.25">
      <c r="T247" s="840"/>
      <c r="U247" s="840"/>
      <c r="W247" s="840"/>
      <c r="Z247" s="840"/>
    </row>
    <row r="248" spans="20:26" ht="63.75" customHeight="1" x14ac:dyDescent="0.25">
      <c r="T248" s="840"/>
      <c r="U248" s="840"/>
      <c r="W248" s="840"/>
      <c r="Z248" s="840"/>
    </row>
    <row r="249" spans="20:26" ht="63.75" customHeight="1" x14ac:dyDescent="0.25">
      <c r="T249" s="840"/>
      <c r="U249" s="840"/>
      <c r="W249" s="840"/>
      <c r="Z249" s="840"/>
    </row>
    <row r="250" spans="20:26" ht="63.75" customHeight="1" x14ac:dyDescent="0.25">
      <c r="T250" s="840"/>
      <c r="U250" s="840"/>
      <c r="W250" s="840"/>
      <c r="Z250" s="840"/>
    </row>
    <row r="251" spans="20:26" ht="63.75" customHeight="1" x14ac:dyDescent="0.25">
      <c r="T251" s="840"/>
      <c r="U251" s="840"/>
      <c r="W251" s="840"/>
      <c r="Z251" s="840"/>
    </row>
    <row r="252" spans="20:26" ht="63.75" customHeight="1" x14ac:dyDescent="0.25">
      <c r="T252" s="840"/>
      <c r="U252" s="840"/>
      <c r="W252" s="840"/>
      <c r="Z252" s="840"/>
    </row>
    <row r="253" spans="20:26" ht="63.75" customHeight="1" x14ac:dyDescent="0.25">
      <c r="T253" s="840"/>
      <c r="U253" s="840"/>
      <c r="W253" s="840"/>
      <c r="Z253" s="840"/>
    </row>
    <row r="254" spans="20:26" ht="63.75" customHeight="1" x14ac:dyDescent="0.25">
      <c r="T254" s="840"/>
      <c r="U254" s="840"/>
      <c r="W254" s="840"/>
      <c r="Z254" s="840"/>
    </row>
    <row r="255" spans="20:26" ht="63.75" customHeight="1" x14ac:dyDescent="0.25">
      <c r="T255" s="840"/>
      <c r="U255" s="840"/>
      <c r="W255" s="840"/>
      <c r="Z255" s="840"/>
    </row>
    <row r="256" spans="20:26" ht="63.75" customHeight="1" x14ac:dyDescent="0.25">
      <c r="T256" s="840"/>
      <c r="U256" s="840"/>
      <c r="W256" s="840"/>
      <c r="Z256" s="840"/>
    </row>
    <row r="257" spans="20:26" ht="63.75" customHeight="1" x14ac:dyDescent="0.25">
      <c r="T257" s="840"/>
      <c r="U257" s="840"/>
      <c r="W257" s="840"/>
      <c r="Z257" s="840"/>
    </row>
    <row r="258" spans="20:26" ht="63.75" customHeight="1" x14ac:dyDescent="0.25">
      <c r="T258" s="840"/>
      <c r="U258" s="840"/>
      <c r="W258" s="840"/>
      <c r="Z258" s="840"/>
    </row>
    <row r="259" spans="20:26" ht="63.75" customHeight="1" x14ac:dyDescent="0.25">
      <c r="T259" s="840"/>
      <c r="U259" s="840"/>
      <c r="W259" s="840"/>
      <c r="Z259" s="840"/>
    </row>
    <row r="260" spans="20:26" ht="63.75" customHeight="1" x14ac:dyDescent="0.25">
      <c r="T260" s="840"/>
      <c r="U260" s="840"/>
      <c r="W260" s="840"/>
      <c r="Z260" s="840"/>
    </row>
    <row r="261" spans="20:26" ht="63.75" customHeight="1" x14ac:dyDescent="0.25">
      <c r="T261" s="840"/>
      <c r="U261" s="840"/>
      <c r="W261" s="840"/>
      <c r="Z261" s="840"/>
    </row>
    <row r="262" spans="20:26" ht="63.75" customHeight="1" x14ac:dyDescent="0.25">
      <c r="T262" s="840"/>
      <c r="U262" s="840"/>
      <c r="W262" s="840"/>
      <c r="Z262" s="840"/>
    </row>
    <row r="263" spans="20:26" ht="63.75" customHeight="1" x14ac:dyDescent="0.25">
      <c r="T263" s="840"/>
      <c r="U263" s="840"/>
      <c r="W263" s="840"/>
      <c r="Z263" s="840"/>
    </row>
    <row r="264" spans="20:26" ht="63.75" customHeight="1" x14ac:dyDescent="0.25">
      <c r="T264" s="840"/>
      <c r="U264" s="840"/>
      <c r="W264" s="840"/>
      <c r="Z264" s="840"/>
    </row>
    <row r="265" spans="20:26" ht="63.75" customHeight="1" x14ac:dyDescent="0.25">
      <c r="T265" s="840"/>
      <c r="U265" s="840"/>
      <c r="W265" s="840"/>
      <c r="Z265" s="840"/>
    </row>
    <row r="266" spans="20:26" ht="63.75" customHeight="1" x14ac:dyDescent="0.25">
      <c r="T266" s="840"/>
      <c r="U266" s="840"/>
      <c r="W266" s="840"/>
      <c r="Z266" s="840"/>
    </row>
    <row r="267" spans="20:26" ht="63.75" customHeight="1" x14ac:dyDescent="0.25">
      <c r="T267" s="840"/>
      <c r="U267" s="840"/>
      <c r="W267" s="840"/>
      <c r="Z267" s="840"/>
    </row>
    <row r="268" spans="20:26" ht="63.75" customHeight="1" x14ac:dyDescent="0.25">
      <c r="T268" s="840"/>
      <c r="U268" s="840"/>
      <c r="W268" s="840"/>
      <c r="Z268" s="840"/>
    </row>
    <row r="269" spans="20:26" ht="63.75" customHeight="1" x14ac:dyDescent="0.25">
      <c r="T269" s="840"/>
      <c r="U269" s="840"/>
      <c r="W269" s="840"/>
      <c r="Z269" s="840"/>
    </row>
    <row r="270" spans="20:26" ht="63.75" customHeight="1" x14ac:dyDescent="0.25">
      <c r="T270" s="840"/>
      <c r="U270" s="840"/>
      <c r="W270" s="840"/>
      <c r="Z270" s="840"/>
    </row>
    <row r="271" spans="20:26" ht="63.75" customHeight="1" x14ac:dyDescent="0.25">
      <c r="T271" s="840"/>
      <c r="U271" s="840"/>
      <c r="W271" s="840"/>
      <c r="Z271" s="840"/>
    </row>
    <row r="272" spans="20:26" ht="63.75" customHeight="1" x14ac:dyDescent="0.25">
      <c r="T272" s="840"/>
      <c r="U272" s="840"/>
      <c r="W272" s="840"/>
      <c r="Z272" s="840"/>
    </row>
    <row r="273" spans="20:26" ht="63.75" customHeight="1" x14ac:dyDescent="0.25">
      <c r="T273" s="840"/>
      <c r="U273" s="840"/>
      <c r="W273" s="840"/>
      <c r="Z273" s="840"/>
    </row>
    <row r="274" spans="20:26" ht="63.75" customHeight="1" x14ac:dyDescent="0.25">
      <c r="T274" s="840"/>
      <c r="U274" s="840"/>
      <c r="W274" s="840"/>
      <c r="Z274" s="840"/>
    </row>
    <row r="275" spans="20:26" ht="63.75" customHeight="1" x14ac:dyDescent="0.25">
      <c r="T275" s="840"/>
      <c r="U275" s="840"/>
      <c r="W275" s="840"/>
      <c r="Z275" s="840"/>
    </row>
    <row r="276" spans="20:26" ht="63.75" customHeight="1" x14ac:dyDescent="0.25">
      <c r="T276" s="840"/>
      <c r="U276" s="840"/>
      <c r="W276" s="840"/>
      <c r="Z276" s="840"/>
    </row>
    <row r="277" spans="20:26" ht="63.75" customHeight="1" x14ac:dyDescent="0.25">
      <c r="T277" s="840"/>
      <c r="U277" s="840"/>
      <c r="W277" s="840"/>
      <c r="Z277" s="840"/>
    </row>
    <row r="278" spans="20:26" ht="63.75" customHeight="1" x14ac:dyDescent="0.25">
      <c r="T278" s="840"/>
      <c r="U278" s="840"/>
      <c r="W278" s="840"/>
      <c r="Z278" s="840"/>
    </row>
    <row r="279" spans="20:26" ht="63.75" customHeight="1" x14ac:dyDescent="0.25">
      <c r="T279" s="840"/>
      <c r="U279" s="840"/>
      <c r="W279" s="840"/>
      <c r="Z279" s="840"/>
    </row>
    <row r="280" spans="20:26" ht="63.75" customHeight="1" x14ac:dyDescent="0.25">
      <c r="T280" s="840"/>
      <c r="U280" s="840"/>
      <c r="W280" s="840"/>
      <c r="Z280" s="840"/>
    </row>
    <row r="281" spans="20:26" ht="63.75" customHeight="1" x14ac:dyDescent="0.25">
      <c r="T281" s="840"/>
      <c r="U281" s="840"/>
      <c r="W281" s="840"/>
      <c r="Z281" s="840"/>
    </row>
    <row r="282" spans="20:26" ht="63.75" customHeight="1" x14ac:dyDescent="0.25">
      <c r="T282" s="840"/>
      <c r="U282" s="840"/>
      <c r="W282" s="840"/>
      <c r="Z282" s="840"/>
    </row>
    <row r="283" spans="20:26" ht="63.75" customHeight="1" x14ac:dyDescent="0.25">
      <c r="T283" s="840"/>
      <c r="U283" s="840"/>
      <c r="W283" s="840"/>
      <c r="Z283" s="840"/>
    </row>
    <row r="284" spans="20:26" ht="63.75" customHeight="1" x14ac:dyDescent="0.25">
      <c r="T284" s="840"/>
      <c r="U284" s="840"/>
      <c r="W284" s="840"/>
      <c r="Z284" s="840"/>
    </row>
    <row r="285" spans="20:26" ht="63.75" customHeight="1" x14ac:dyDescent="0.25">
      <c r="T285" s="840"/>
      <c r="U285" s="840"/>
      <c r="W285" s="840"/>
      <c r="Z285" s="840"/>
    </row>
    <row r="286" spans="20:26" ht="63.75" customHeight="1" x14ac:dyDescent="0.25">
      <c r="T286" s="840"/>
      <c r="U286" s="840"/>
      <c r="W286" s="840"/>
      <c r="Z286" s="840"/>
    </row>
    <row r="287" spans="20:26" ht="63.75" customHeight="1" x14ac:dyDescent="0.25">
      <c r="T287" s="840"/>
      <c r="U287" s="840"/>
      <c r="W287" s="840"/>
      <c r="Z287" s="840"/>
    </row>
    <row r="288" spans="20:26" ht="63.75" customHeight="1" x14ac:dyDescent="0.25">
      <c r="T288" s="840"/>
      <c r="U288" s="840"/>
      <c r="W288" s="840"/>
      <c r="Z288" s="840"/>
    </row>
    <row r="289" spans="20:26" ht="63.75" customHeight="1" x14ac:dyDescent="0.25">
      <c r="T289" s="840"/>
      <c r="U289" s="840"/>
      <c r="W289" s="840"/>
      <c r="Z289" s="840"/>
    </row>
    <row r="290" spans="20:26" ht="63.75" customHeight="1" x14ac:dyDescent="0.25">
      <c r="T290" s="840"/>
      <c r="U290" s="840"/>
      <c r="W290" s="840"/>
      <c r="Z290" s="840"/>
    </row>
    <row r="291" spans="20:26" ht="63.75" customHeight="1" x14ac:dyDescent="0.25">
      <c r="T291" s="840"/>
      <c r="U291" s="840"/>
      <c r="W291" s="840"/>
      <c r="Z291" s="840"/>
    </row>
    <row r="292" spans="20:26" ht="63.75" customHeight="1" x14ac:dyDescent="0.25">
      <c r="T292" s="840"/>
      <c r="U292" s="840"/>
      <c r="W292" s="840"/>
      <c r="Z292" s="840"/>
    </row>
    <row r="293" spans="20:26" ht="63.75" customHeight="1" x14ac:dyDescent="0.25">
      <c r="T293" s="840"/>
      <c r="U293" s="840"/>
      <c r="W293" s="840"/>
      <c r="Z293" s="840"/>
    </row>
    <row r="294" spans="20:26" ht="63.75" customHeight="1" x14ac:dyDescent="0.25">
      <c r="T294" s="840"/>
      <c r="U294" s="840"/>
      <c r="W294" s="840"/>
      <c r="Z294" s="840"/>
    </row>
    <row r="295" spans="20:26" ht="63.75" customHeight="1" x14ac:dyDescent="0.25">
      <c r="T295" s="840"/>
      <c r="U295" s="840"/>
      <c r="W295" s="840"/>
      <c r="Z295" s="840"/>
    </row>
    <row r="296" spans="20:26" ht="63.75" customHeight="1" x14ac:dyDescent="0.25">
      <c r="T296" s="840"/>
      <c r="U296" s="840"/>
      <c r="W296" s="840"/>
      <c r="Z296" s="840"/>
    </row>
    <row r="297" spans="20:26" ht="63.75" customHeight="1" x14ac:dyDescent="0.25">
      <c r="T297" s="840"/>
      <c r="U297" s="840"/>
      <c r="W297" s="840"/>
      <c r="Z297" s="840"/>
    </row>
    <row r="298" spans="20:26" ht="63.75" customHeight="1" x14ac:dyDescent="0.25">
      <c r="T298" s="840"/>
      <c r="U298" s="840"/>
      <c r="W298" s="840"/>
      <c r="Z298" s="840"/>
    </row>
    <row r="299" spans="20:26" ht="63.75" customHeight="1" x14ac:dyDescent="0.25">
      <c r="T299" s="840"/>
      <c r="U299" s="840"/>
      <c r="W299" s="840"/>
      <c r="Z299" s="840"/>
    </row>
    <row r="300" spans="20:26" ht="63.75" customHeight="1" x14ac:dyDescent="0.25">
      <c r="T300" s="840"/>
      <c r="U300" s="840"/>
      <c r="W300" s="840"/>
      <c r="Z300" s="840"/>
    </row>
    <row r="301" spans="20:26" ht="63.75" customHeight="1" x14ac:dyDescent="0.25">
      <c r="T301" s="840"/>
      <c r="U301" s="840"/>
      <c r="W301" s="840"/>
      <c r="Z301" s="840"/>
    </row>
  </sheetData>
  <sheetProtection algorithmName="SHA-512" hashValue="30G7iKnhiioT8+91q14Q//OOohu3iY0oMi0ayFJHShv1dm7LGPNTuZy8WxG44IebJVBaXVc0sVXOg6OhJ91ChA==" saltValue="Z50Bq7hz/J9ahqmYz2qw0Q==" spinCount="100000" sheet="1" objects="1" scenarios="1"/>
  <dataConsolidate/>
  <customSheetViews>
    <customSheetView guid="{2DEE39A3-88C5-4D7F-AEB9-0B43FD431165}" showGridLines="0" fitToPage="1" printArea="1" hiddenColumns="1">
      <pane xSplit="2" ySplit="7" topLeftCell="C261" activePane="bottomRight" state="frozen"/>
      <selection pane="bottomRight" activeCell="V276" sqref="V276"/>
      <rowBreaks count="3" manualBreakCount="3">
        <brk id="77" max="19" man="1"/>
        <brk id="193" max="16383" man="1"/>
        <brk id="233" max="16383" man="1"/>
      </rowBreaks>
      <pageMargins left="0.15748031496062992" right="0.15748031496062992" top="0.19685039370078741" bottom="0.15748031496062992" header="0.51181102362204722" footer="0.15748031496062992"/>
      <pageSetup paperSize="9" scale="61" fitToHeight="4" orientation="landscape" verticalDpi="300" r:id="rId1"/>
      <headerFooter alignWithMargins="0">
        <oddHeader>&amp;CSeite &amp;P</oddHeader>
        <oddFooter>&amp;R&amp;8&amp;F   &amp;A   WS09/00</oddFooter>
      </headerFooter>
    </customSheetView>
    <customSheetView guid="{117F828A-4542-4D18-9CDB-B606529AAD66}" showGridLines="0" showRowCol="0" fitToPage="1" hiddenRows="1" hiddenColumns="1">
      <pane xSplit="2" ySplit="7" topLeftCell="C167" activePane="bottomRight" state="frozen"/>
      <selection pane="bottomRight" activeCell="B56" sqref="B56:Y196"/>
      <rowBreaks count="3" manualBreakCount="3">
        <brk id="77" max="19" man="1"/>
        <brk id="133" max="16383" man="1"/>
        <brk id="173" max="16383" man="1"/>
      </rowBreaks>
      <pageMargins left="0.15748031496062992" right="0.15748031496062992" top="0.19685039370078741" bottom="0.15748031496062992" header="0.51181102362204722" footer="0.15748031496062992"/>
      <pageSetup paperSize="9" scale="61" fitToHeight="4" orientation="landscape" verticalDpi="300" r:id="rId2"/>
      <headerFooter alignWithMargins="0">
        <oddHeader>&amp;CSeite &amp;P</oddHeader>
        <oddFooter>&amp;R&amp;8&amp;F   &amp;A   WS09/00</oddFooter>
      </headerFooter>
    </customSheetView>
  </customSheetViews>
  <mergeCells count="31">
    <mergeCell ref="G7:I7"/>
    <mergeCell ref="H6:I6"/>
    <mergeCell ref="D7:F7"/>
    <mergeCell ref="J7:N7"/>
    <mergeCell ref="AB7:AC7"/>
    <mergeCell ref="O7:P7"/>
    <mergeCell ref="Q7:R7"/>
    <mergeCell ref="D3:E3"/>
    <mergeCell ref="D4:E4"/>
    <mergeCell ref="O3:P3"/>
    <mergeCell ref="O4:P4"/>
    <mergeCell ref="O5:P5"/>
    <mergeCell ref="H4:I4"/>
    <mergeCell ref="L3:M3"/>
    <mergeCell ref="L4:M4"/>
    <mergeCell ref="L5:M5"/>
    <mergeCell ref="G3:I3"/>
    <mergeCell ref="AI8:AM8"/>
    <mergeCell ref="AI3:AM3"/>
    <mergeCell ref="S7:AA7"/>
    <mergeCell ref="Q3:R3"/>
    <mergeCell ref="Q4:R4"/>
    <mergeCell ref="Q5:R5"/>
    <mergeCell ref="AI7:AM7"/>
    <mergeCell ref="X3:Z4"/>
    <mergeCell ref="AB3:AE3"/>
    <mergeCell ref="AB4:AE4"/>
    <mergeCell ref="AF6:AG6"/>
    <mergeCell ref="AF7:AG7"/>
    <mergeCell ref="AF3:AG3"/>
    <mergeCell ref="AF4:AG4"/>
  </mergeCells>
  <phoneticPr fontId="0" type="noConversion"/>
  <conditionalFormatting sqref="A1:A1048576">
    <cfRule type="beginsWith" dxfId="23" priority="35" operator="beginsWith" text="G">
      <formula>LEFT(A1,LEN("G"))="G"</formula>
    </cfRule>
  </conditionalFormatting>
  <conditionalFormatting sqref="C54:C55 C57:C65 C69:C71 C75:C83 T81:X81 Z81:AA81">
    <cfRule type="cellIs" dxfId="22" priority="2" operator="equal">
      <formula>0</formula>
    </cfRule>
  </conditionalFormatting>
  <pageMargins left="0.15748031496062992" right="0.15748031496062992" top="0.19685039370078741" bottom="0.15748031496062992" header="0.51181102362204722" footer="0.15748031496062992"/>
  <pageSetup paperSize="9" fitToWidth="2" fitToHeight="4" orientation="landscape" verticalDpi="300" r:id="rId3"/>
  <headerFooter alignWithMargins="0">
    <oddHeader>&amp;CSeite &amp;P</oddHeader>
    <oddFooter>&amp;R&amp;8&amp;F   &amp;A   WS09/00</oddFooter>
  </headerFooter>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tabColor rgb="FF92D050"/>
    <pageSetUpPr fitToPage="1"/>
  </sheetPr>
  <dimension ref="A1:LQ115"/>
  <sheetViews>
    <sheetView showGridLines="0" showZeros="0" zoomScale="70" zoomScaleNormal="70" workbookViewId="0">
      <selection activeCell="Z14" sqref="Z14"/>
    </sheetView>
  </sheetViews>
  <sheetFormatPr baseColWidth="10" defaultColWidth="11.453125" defaultRowHeight="12.5" outlineLevelCol="1" x14ac:dyDescent="0.25"/>
  <cols>
    <col min="1" max="1" width="2.453125" style="27" customWidth="1"/>
    <col min="2" max="2" width="9.453125" style="5" customWidth="1"/>
    <col min="3" max="3" width="14.54296875" style="5" hidden="1" customWidth="1"/>
    <col min="4" max="4" width="29.81640625" style="5" customWidth="1"/>
    <col min="5" max="5" width="4" style="5" customWidth="1"/>
    <col min="6" max="6" width="5.453125" style="5" customWidth="1"/>
    <col min="7" max="7" width="5.1796875" style="10" customWidth="1"/>
    <col min="8" max="8" width="23.7265625" style="5" customWidth="1"/>
    <col min="9" max="10" width="10.453125" style="5" customWidth="1"/>
    <col min="11" max="12" width="11.26953125" style="5" bestFit="1" customWidth="1"/>
    <col min="13" max="13" width="10.453125" style="5" customWidth="1"/>
    <col min="14" max="14" width="11.54296875" style="5" bestFit="1" customWidth="1"/>
    <col min="15" max="15" width="10.1796875" style="5" customWidth="1"/>
    <col min="16" max="16" width="10.1796875" style="5" hidden="1" customWidth="1" outlineLevel="1"/>
    <col min="17" max="17" width="8.26953125" style="5" hidden="1" customWidth="1" outlineLevel="1"/>
    <col min="18" max="18" width="10.453125" style="5" hidden="1" customWidth="1" outlineLevel="1"/>
    <col min="19" max="21" width="8.54296875" style="5" hidden="1" customWidth="1" outlineLevel="1"/>
    <col min="22" max="22" width="12.7265625" style="5" bestFit="1" customWidth="1" collapsed="1"/>
    <col min="23" max="23" width="15.453125" style="5" bestFit="1" customWidth="1"/>
    <col min="24" max="24" width="4" style="5" hidden="1" customWidth="1"/>
    <col min="25" max="25" width="9" style="5" customWidth="1"/>
    <col min="26" max="26" width="10.1796875" style="5" bestFit="1" customWidth="1"/>
    <col min="27" max="27" width="12.7265625" style="5" customWidth="1"/>
    <col min="28" max="28" width="11.453125" style="5" customWidth="1"/>
    <col min="29" max="29" width="11.26953125" style="5" bestFit="1" customWidth="1"/>
    <col min="30" max="30" width="11.453125" style="5" customWidth="1"/>
    <col min="31" max="31" width="10.81640625" style="5" customWidth="1"/>
    <col min="32" max="32" width="11.26953125" style="5" hidden="1" customWidth="1" outlineLevel="1"/>
    <col min="33" max="33" width="10.26953125" style="37" hidden="1" customWidth="1" outlineLevel="1"/>
    <col min="34" max="34" width="15.453125" style="37" hidden="1" customWidth="1" outlineLevel="1"/>
    <col min="35" max="37" width="10.26953125" style="37" hidden="1" customWidth="1" outlineLevel="1"/>
    <col min="38" max="38" width="9" style="37" customWidth="1" collapsed="1"/>
    <col min="39" max="39" width="2.1796875" style="383" customWidth="1"/>
    <col min="40" max="40" width="0.54296875" style="585" customWidth="1"/>
    <col min="41" max="329" width="11.453125" style="585"/>
    <col min="330" max="16384" width="11.453125" style="28"/>
  </cols>
  <sheetData>
    <row r="1" spans="1:329" s="27" customFormat="1" ht="6" customHeight="1" thickTop="1" x14ac:dyDescent="0.25">
      <c r="A1" s="580"/>
      <c r="B1" s="581"/>
      <c r="C1" s="582"/>
      <c r="D1" s="582"/>
      <c r="E1" s="582"/>
      <c r="F1" s="582"/>
      <c r="G1" s="583"/>
      <c r="H1" s="582"/>
      <c r="I1" s="582"/>
      <c r="J1" s="582"/>
      <c r="K1" s="582"/>
      <c r="L1" s="582"/>
      <c r="M1" s="582"/>
      <c r="N1" s="582"/>
      <c r="O1" s="582"/>
      <c r="P1" s="582"/>
      <c r="Q1" s="582"/>
      <c r="R1" s="582"/>
      <c r="S1" s="582"/>
      <c r="T1" s="582"/>
      <c r="U1" s="582"/>
      <c r="V1" s="582"/>
      <c r="W1" s="582"/>
      <c r="X1" s="582"/>
      <c r="Y1" s="582"/>
      <c r="Z1" s="582"/>
      <c r="AA1" s="582"/>
      <c r="AB1" s="582"/>
      <c r="AC1" s="582"/>
      <c r="AD1" s="582"/>
      <c r="AE1" s="582"/>
      <c r="AF1" s="582"/>
      <c r="AG1" s="582"/>
      <c r="AH1" s="582"/>
      <c r="AI1" s="582"/>
      <c r="AJ1" s="582"/>
      <c r="AK1" s="582"/>
      <c r="AL1" s="582"/>
      <c r="AM1" s="584"/>
      <c r="AN1" s="585"/>
      <c r="AO1" s="585"/>
      <c r="AP1" s="585"/>
      <c r="AQ1" s="585"/>
      <c r="AR1" s="585"/>
      <c r="AS1" s="585"/>
      <c r="AT1" s="585"/>
      <c r="AU1" s="585"/>
      <c r="AV1" s="585"/>
      <c r="AW1" s="585"/>
      <c r="AX1" s="585"/>
      <c r="AY1" s="585"/>
      <c r="AZ1" s="585"/>
      <c r="BA1" s="585"/>
      <c r="BB1" s="585"/>
      <c r="BC1" s="585"/>
      <c r="BD1" s="585"/>
      <c r="BE1" s="585"/>
      <c r="BF1" s="585"/>
      <c r="BG1" s="585"/>
      <c r="BH1" s="585"/>
      <c r="BI1" s="585"/>
      <c r="BJ1" s="585"/>
      <c r="BK1" s="585"/>
      <c r="BL1" s="585"/>
      <c r="BM1" s="585"/>
      <c r="BN1" s="585"/>
      <c r="BO1" s="585"/>
      <c r="BP1" s="585"/>
      <c r="BQ1" s="585"/>
      <c r="BR1" s="585"/>
      <c r="BS1" s="585"/>
      <c r="BT1" s="585"/>
      <c r="BU1" s="585"/>
      <c r="BV1" s="585"/>
      <c r="BW1" s="585"/>
      <c r="BX1" s="585"/>
      <c r="BY1" s="585"/>
      <c r="BZ1" s="585"/>
      <c r="CA1" s="585"/>
      <c r="CB1" s="585"/>
      <c r="CC1" s="585"/>
      <c r="CD1" s="585"/>
      <c r="CE1" s="585"/>
      <c r="CF1" s="585"/>
      <c r="CG1" s="585"/>
      <c r="CH1" s="585"/>
      <c r="CI1" s="585"/>
      <c r="CJ1" s="585"/>
      <c r="CK1" s="585"/>
      <c r="CL1" s="585"/>
      <c r="CM1" s="585"/>
      <c r="CN1" s="585"/>
      <c r="CO1" s="585"/>
      <c r="CP1" s="585"/>
      <c r="CQ1" s="585"/>
      <c r="CR1" s="585"/>
      <c r="CS1" s="585"/>
      <c r="CT1" s="585"/>
      <c r="CU1" s="585"/>
      <c r="CV1" s="585"/>
      <c r="CW1" s="585"/>
      <c r="CX1" s="585"/>
      <c r="CY1" s="585"/>
      <c r="CZ1" s="585"/>
      <c r="DA1" s="585"/>
      <c r="DB1" s="585"/>
      <c r="DC1" s="585"/>
      <c r="DD1" s="585"/>
      <c r="DE1" s="585"/>
      <c r="DF1" s="585"/>
      <c r="DG1" s="585"/>
      <c r="DH1" s="585"/>
      <c r="DI1" s="585"/>
      <c r="DJ1" s="585"/>
      <c r="DK1" s="585"/>
      <c r="DL1" s="585"/>
      <c r="DM1" s="585"/>
      <c r="DN1" s="585"/>
      <c r="DO1" s="585"/>
      <c r="DP1" s="585"/>
      <c r="DQ1" s="585"/>
      <c r="DR1" s="585"/>
      <c r="DS1" s="585"/>
      <c r="DT1" s="585"/>
      <c r="DU1" s="585"/>
      <c r="DV1" s="585"/>
      <c r="DW1" s="585"/>
      <c r="DX1" s="585"/>
      <c r="DY1" s="585"/>
      <c r="DZ1" s="585"/>
      <c r="EA1" s="585"/>
      <c r="EB1" s="585"/>
      <c r="EC1" s="585"/>
      <c r="ED1" s="585"/>
      <c r="EE1" s="585"/>
      <c r="EF1" s="585"/>
      <c r="EG1" s="585"/>
      <c r="EH1" s="585"/>
      <c r="EI1" s="585"/>
      <c r="EJ1" s="585"/>
      <c r="EK1" s="585"/>
      <c r="EL1" s="585"/>
      <c r="EM1" s="585"/>
      <c r="EN1" s="585"/>
      <c r="EO1" s="585"/>
      <c r="EP1" s="585"/>
      <c r="EQ1" s="585"/>
      <c r="ER1" s="585"/>
      <c r="ES1" s="585"/>
      <c r="ET1" s="585"/>
      <c r="EU1" s="585"/>
      <c r="EV1" s="585"/>
      <c r="EW1" s="585"/>
      <c r="EX1" s="585"/>
      <c r="EY1" s="585"/>
      <c r="EZ1" s="585"/>
      <c r="FA1" s="585"/>
      <c r="FB1" s="585"/>
      <c r="FC1" s="585"/>
      <c r="FD1" s="585"/>
      <c r="FE1" s="585"/>
      <c r="FF1" s="585"/>
      <c r="FG1" s="585"/>
      <c r="FH1" s="585"/>
      <c r="FI1" s="585"/>
      <c r="FJ1" s="585"/>
      <c r="FK1" s="585"/>
      <c r="FL1" s="585"/>
      <c r="FM1" s="585"/>
      <c r="FN1" s="585"/>
      <c r="FO1" s="585"/>
      <c r="FP1" s="585"/>
      <c r="FQ1" s="585"/>
      <c r="FR1" s="585"/>
      <c r="FS1" s="585"/>
      <c r="FT1" s="585"/>
      <c r="FU1" s="585"/>
      <c r="FV1" s="585"/>
      <c r="FW1" s="585"/>
      <c r="FX1" s="585"/>
      <c r="FY1" s="585"/>
      <c r="FZ1" s="585"/>
      <c r="GA1" s="585"/>
      <c r="GB1" s="585"/>
      <c r="GC1" s="585"/>
      <c r="GD1" s="585"/>
      <c r="GE1" s="585"/>
      <c r="GF1" s="585"/>
      <c r="GG1" s="585"/>
      <c r="GH1" s="585"/>
      <c r="GI1" s="585"/>
      <c r="GJ1" s="585"/>
      <c r="GK1" s="585"/>
      <c r="GL1" s="585"/>
      <c r="GM1" s="585"/>
      <c r="GN1" s="585"/>
      <c r="GO1" s="585"/>
      <c r="GP1" s="585"/>
      <c r="GQ1" s="585"/>
      <c r="GR1" s="585"/>
      <c r="GS1" s="585"/>
      <c r="GT1" s="585"/>
      <c r="GU1" s="585"/>
      <c r="GV1" s="585"/>
      <c r="GW1" s="585"/>
      <c r="GX1" s="585"/>
      <c r="GY1" s="585"/>
      <c r="GZ1" s="585"/>
      <c r="HA1" s="585"/>
      <c r="HB1" s="585"/>
      <c r="HC1" s="585"/>
      <c r="HD1" s="585"/>
      <c r="HE1" s="585"/>
      <c r="HF1" s="585"/>
      <c r="HG1" s="585"/>
      <c r="HH1" s="585"/>
      <c r="HI1" s="585"/>
      <c r="HJ1" s="585"/>
      <c r="HK1" s="585"/>
      <c r="HL1" s="585"/>
      <c r="HM1" s="585"/>
      <c r="HN1" s="585"/>
      <c r="HO1" s="585"/>
      <c r="HP1" s="585"/>
      <c r="HQ1" s="585"/>
      <c r="HR1" s="585"/>
      <c r="HS1" s="585"/>
      <c r="HT1" s="585"/>
      <c r="HU1" s="585"/>
      <c r="HV1" s="585"/>
      <c r="HW1" s="585"/>
      <c r="HX1" s="585"/>
      <c r="HY1" s="585"/>
      <c r="HZ1" s="585"/>
      <c r="IA1" s="585"/>
      <c r="IB1" s="585"/>
      <c r="IC1" s="585"/>
      <c r="ID1" s="585"/>
      <c r="IE1" s="585"/>
      <c r="IF1" s="585"/>
      <c r="IG1" s="585"/>
      <c r="IH1" s="585"/>
      <c r="II1" s="585"/>
      <c r="IJ1" s="585"/>
      <c r="IK1" s="585"/>
      <c r="IL1" s="585"/>
      <c r="IM1" s="585"/>
      <c r="IN1" s="585"/>
      <c r="IO1" s="585"/>
      <c r="IP1" s="585"/>
      <c r="IQ1" s="585"/>
      <c r="IR1" s="585"/>
      <c r="IS1" s="585"/>
      <c r="IT1" s="585"/>
      <c r="IU1" s="585"/>
      <c r="IV1" s="585"/>
      <c r="IW1" s="585"/>
      <c r="IX1" s="585"/>
      <c r="IY1" s="585"/>
      <c r="IZ1" s="585"/>
      <c r="JA1" s="585"/>
      <c r="JB1" s="585"/>
      <c r="JC1" s="585"/>
      <c r="JD1" s="585"/>
      <c r="JE1" s="585"/>
      <c r="JF1" s="585"/>
      <c r="JG1" s="585"/>
      <c r="JH1" s="585"/>
      <c r="JI1" s="585"/>
      <c r="JJ1" s="585"/>
      <c r="JK1" s="585"/>
      <c r="JL1" s="585"/>
      <c r="JM1" s="585"/>
      <c r="JN1" s="585"/>
      <c r="JO1" s="585"/>
      <c r="JP1" s="585"/>
      <c r="JQ1" s="585"/>
      <c r="JR1" s="585"/>
      <c r="JS1" s="585"/>
      <c r="JT1" s="585"/>
      <c r="JU1" s="585"/>
      <c r="JV1" s="585"/>
      <c r="JW1" s="585"/>
      <c r="JX1" s="585"/>
      <c r="JY1" s="585"/>
      <c r="JZ1" s="585"/>
      <c r="KA1" s="585"/>
      <c r="KB1" s="585"/>
      <c r="KC1" s="585"/>
      <c r="KD1" s="585"/>
      <c r="KE1" s="585"/>
      <c r="KF1" s="585"/>
      <c r="KG1" s="585"/>
      <c r="KH1" s="585"/>
      <c r="KI1" s="585"/>
      <c r="KJ1" s="585"/>
      <c r="KK1" s="585"/>
      <c r="KL1" s="585"/>
      <c r="KM1" s="585"/>
      <c r="KN1" s="585"/>
      <c r="KO1" s="585"/>
      <c r="KP1" s="585"/>
      <c r="KQ1" s="585"/>
      <c r="KR1" s="585"/>
      <c r="KS1" s="585"/>
      <c r="KT1" s="585"/>
      <c r="KU1" s="585"/>
      <c r="KV1" s="585"/>
      <c r="KW1" s="585"/>
      <c r="KX1" s="585"/>
      <c r="KY1" s="585"/>
      <c r="KZ1" s="585"/>
      <c r="LA1" s="585"/>
      <c r="LB1" s="585"/>
      <c r="LC1" s="585"/>
      <c r="LD1" s="585"/>
      <c r="LE1" s="585"/>
      <c r="LF1" s="585"/>
      <c r="LG1" s="585"/>
      <c r="LH1" s="585"/>
      <c r="LI1" s="585"/>
      <c r="LJ1" s="585"/>
      <c r="LK1" s="585"/>
      <c r="LL1" s="585"/>
      <c r="LM1" s="585"/>
      <c r="LN1" s="585"/>
      <c r="LO1" s="585"/>
      <c r="LP1" s="585"/>
      <c r="LQ1" s="585"/>
    </row>
    <row r="2" spans="1:329" s="29" customFormat="1" ht="16.5" customHeight="1" x14ac:dyDescent="0.25">
      <c r="A2" s="586"/>
      <c r="B2" s="587"/>
      <c r="C2" s="588"/>
      <c r="D2" s="588"/>
      <c r="E2" s="588"/>
      <c r="F2" s="588"/>
      <c r="G2" s="318"/>
      <c r="H2" s="588"/>
      <c r="I2" s="588"/>
      <c r="J2" s="588"/>
      <c r="K2" s="589" t="str">
        <f>"Futterberechnung für "&amp;IF(Art=1,"laktierende Milchkühe",IF(Art=2,"Milchschafe",IF(Art=3,"Milchziegen","")))</f>
        <v>Futterberechnung für laktierende Milchkühe</v>
      </c>
      <c r="L2" s="31"/>
      <c r="M2" s="31"/>
      <c r="N2" s="31"/>
      <c r="O2" s="31"/>
      <c r="P2" s="590"/>
      <c r="Q2" s="590"/>
      <c r="R2" s="590"/>
      <c r="S2" s="590"/>
      <c r="T2" s="590"/>
      <c r="U2" s="590"/>
      <c r="V2" s="31"/>
      <c r="W2" s="31"/>
      <c r="X2" s="31"/>
      <c r="Y2" s="31"/>
      <c r="Z2" s="591"/>
      <c r="AA2" s="591"/>
      <c r="AB2" s="591"/>
      <c r="AC2" s="31"/>
      <c r="AD2" s="31"/>
      <c r="AE2" s="31"/>
      <c r="AF2" s="31"/>
      <c r="AG2" s="31"/>
      <c r="AH2" s="31"/>
      <c r="AI2" s="31"/>
      <c r="AJ2" s="31"/>
      <c r="AK2" s="31"/>
      <c r="AL2" s="592"/>
      <c r="AM2" s="593"/>
      <c r="AN2" s="585"/>
      <c r="AO2" s="585"/>
      <c r="AP2" s="585"/>
      <c r="AQ2" s="585"/>
      <c r="AR2" s="585"/>
      <c r="AS2" s="585"/>
      <c r="AT2" s="585"/>
      <c r="AU2" s="585"/>
      <c r="AV2" s="585"/>
      <c r="AW2" s="585"/>
      <c r="AX2" s="585"/>
      <c r="AY2" s="585"/>
      <c r="AZ2" s="585"/>
      <c r="BA2" s="585"/>
      <c r="BB2" s="585"/>
      <c r="BC2" s="585"/>
      <c r="BD2" s="585"/>
      <c r="BE2" s="585"/>
      <c r="BF2" s="585"/>
      <c r="BG2" s="585"/>
      <c r="BH2" s="585"/>
      <c r="BI2" s="585"/>
      <c r="BJ2" s="585"/>
      <c r="BK2" s="585"/>
      <c r="BL2" s="585"/>
      <c r="BM2" s="585"/>
      <c r="BN2" s="585"/>
      <c r="BO2" s="585"/>
      <c r="BP2" s="585"/>
      <c r="BQ2" s="585"/>
      <c r="BR2" s="585"/>
      <c r="BS2" s="585"/>
      <c r="BT2" s="585"/>
      <c r="BU2" s="585"/>
      <c r="BV2" s="585"/>
      <c r="BW2" s="585"/>
      <c r="BX2" s="585"/>
      <c r="BY2" s="585"/>
      <c r="BZ2" s="585"/>
      <c r="CA2" s="585"/>
      <c r="CB2" s="585"/>
      <c r="CC2" s="585"/>
      <c r="CD2" s="585"/>
      <c r="CE2" s="585"/>
      <c r="CF2" s="585"/>
      <c r="CG2" s="585"/>
      <c r="CH2" s="585"/>
      <c r="CI2" s="585"/>
      <c r="CJ2" s="585"/>
      <c r="CK2" s="585"/>
      <c r="CL2" s="585"/>
      <c r="CM2" s="585"/>
      <c r="CN2" s="585"/>
      <c r="CO2" s="585"/>
      <c r="CP2" s="585"/>
      <c r="CQ2" s="585"/>
      <c r="CR2" s="585"/>
      <c r="CS2" s="585"/>
      <c r="CT2" s="585"/>
      <c r="CU2" s="585"/>
      <c r="CV2" s="585"/>
      <c r="CW2" s="585"/>
      <c r="CX2" s="585"/>
      <c r="CY2" s="585"/>
      <c r="CZ2" s="585"/>
      <c r="DA2" s="585"/>
      <c r="DB2" s="585"/>
      <c r="DC2" s="585"/>
      <c r="DD2" s="585"/>
      <c r="DE2" s="585"/>
      <c r="DF2" s="585"/>
      <c r="DG2" s="585"/>
      <c r="DH2" s="585"/>
      <c r="DI2" s="585"/>
      <c r="DJ2" s="585"/>
      <c r="DK2" s="585"/>
      <c r="DL2" s="585"/>
      <c r="DM2" s="585"/>
      <c r="DN2" s="585"/>
      <c r="DO2" s="585"/>
      <c r="DP2" s="585"/>
      <c r="DQ2" s="585"/>
      <c r="DR2" s="585"/>
      <c r="DS2" s="585"/>
      <c r="DT2" s="585"/>
      <c r="DU2" s="585"/>
      <c r="DV2" s="585"/>
      <c r="DW2" s="585"/>
      <c r="DX2" s="585"/>
      <c r="DY2" s="585"/>
      <c r="DZ2" s="585"/>
      <c r="EA2" s="585"/>
      <c r="EB2" s="585"/>
      <c r="EC2" s="585"/>
      <c r="ED2" s="585"/>
      <c r="EE2" s="585"/>
      <c r="EF2" s="585"/>
      <c r="EG2" s="585"/>
      <c r="EH2" s="585"/>
      <c r="EI2" s="585"/>
      <c r="EJ2" s="585"/>
      <c r="EK2" s="585"/>
      <c r="EL2" s="585"/>
      <c r="EM2" s="585"/>
      <c r="EN2" s="585"/>
      <c r="EO2" s="585"/>
      <c r="EP2" s="585"/>
      <c r="EQ2" s="585"/>
      <c r="ER2" s="585"/>
      <c r="ES2" s="585"/>
      <c r="ET2" s="585"/>
      <c r="EU2" s="585"/>
      <c r="EV2" s="585"/>
      <c r="EW2" s="585"/>
      <c r="EX2" s="585"/>
      <c r="EY2" s="585"/>
      <c r="EZ2" s="585"/>
      <c r="FA2" s="585"/>
      <c r="FB2" s="585"/>
      <c r="FC2" s="585"/>
      <c r="FD2" s="585"/>
      <c r="FE2" s="585"/>
      <c r="FF2" s="585"/>
      <c r="FG2" s="585"/>
      <c r="FH2" s="585"/>
      <c r="FI2" s="585"/>
      <c r="FJ2" s="585"/>
      <c r="FK2" s="585"/>
      <c r="FL2" s="585"/>
      <c r="FM2" s="585"/>
      <c r="FN2" s="585"/>
      <c r="FO2" s="585"/>
      <c r="FP2" s="585"/>
      <c r="FQ2" s="585"/>
      <c r="FR2" s="585"/>
      <c r="FS2" s="585"/>
      <c r="FT2" s="585"/>
      <c r="FU2" s="585"/>
      <c r="FV2" s="585"/>
      <c r="FW2" s="585"/>
      <c r="FX2" s="585"/>
      <c r="FY2" s="585"/>
      <c r="FZ2" s="585"/>
      <c r="GA2" s="585"/>
      <c r="GB2" s="585"/>
      <c r="GC2" s="585"/>
      <c r="GD2" s="585"/>
      <c r="GE2" s="585"/>
      <c r="GF2" s="585"/>
      <c r="GG2" s="585"/>
      <c r="GH2" s="585"/>
      <c r="GI2" s="585"/>
      <c r="GJ2" s="585"/>
      <c r="GK2" s="585"/>
      <c r="GL2" s="585"/>
      <c r="GM2" s="585"/>
      <c r="GN2" s="585"/>
      <c r="GO2" s="585"/>
      <c r="GP2" s="585"/>
      <c r="GQ2" s="585"/>
      <c r="GR2" s="585"/>
      <c r="GS2" s="585"/>
      <c r="GT2" s="585"/>
      <c r="GU2" s="585"/>
      <c r="GV2" s="585"/>
      <c r="GW2" s="585"/>
      <c r="GX2" s="585"/>
      <c r="GY2" s="585"/>
      <c r="GZ2" s="585"/>
      <c r="HA2" s="585"/>
      <c r="HB2" s="585"/>
      <c r="HC2" s="585"/>
      <c r="HD2" s="585"/>
      <c r="HE2" s="585"/>
      <c r="HF2" s="585"/>
      <c r="HG2" s="585"/>
      <c r="HH2" s="585"/>
      <c r="HI2" s="585"/>
      <c r="HJ2" s="585"/>
      <c r="HK2" s="585"/>
      <c r="HL2" s="585"/>
      <c r="HM2" s="585"/>
      <c r="HN2" s="585"/>
      <c r="HO2" s="585"/>
      <c r="HP2" s="585"/>
      <c r="HQ2" s="585"/>
      <c r="HR2" s="585"/>
      <c r="HS2" s="585"/>
      <c r="HT2" s="585"/>
      <c r="HU2" s="585"/>
      <c r="HV2" s="585"/>
      <c r="HW2" s="585"/>
      <c r="HX2" s="585"/>
      <c r="HY2" s="585"/>
      <c r="HZ2" s="585"/>
      <c r="IA2" s="585"/>
      <c r="IB2" s="585"/>
      <c r="IC2" s="585"/>
      <c r="ID2" s="585"/>
      <c r="IE2" s="585"/>
      <c r="IF2" s="585"/>
      <c r="IG2" s="585"/>
      <c r="IH2" s="585"/>
      <c r="II2" s="585"/>
      <c r="IJ2" s="585"/>
      <c r="IK2" s="585"/>
      <c r="IL2" s="585"/>
      <c r="IM2" s="585"/>
      <c r="IN2" s="585"/>
      <c r="IO2" s="585"/>
      <c r="IP2" s="585"/>
      <c r="IQ2" s="585"/>
      <c r="IR2" s="585"/>
      <c r="IS2" s="585"/>
      <c r="IT2" s="585"/>
      <c r="IU2" s="585"/>
      <c r="IV2" s="585"/>
      <c r="IW2" s="585"/>
      <c r="IX2" s="585"/>
      <c r="IY2" s="585"/>
      <c r="IZ2" s="585"/>
      <c r="JA2" s="585"/>
      <c r="JB2" s="585"/>
      <c r="JC2" s="585"/>
      <c r="JD2" s="585"/>
      <c r="JE2" s="585"/>
      <c r="JF2" s="585"/>
      <c r="JG2" s="585"/>
      <c r="JH2" s="585"/>
      <c r="JI2" s="585"/>
      <c r="JJ2" s="585"/>
      <c r="JK2" s="585"/>
      <c r="JL2" s="585"/>
      <c r="JM2" s="585"/>
      <c r="JN2" s="585"/>
      <c r="JO2" s="585"/>
      <c r="JP2" s="585"/>
      <c r="JQ2" s="585"/>
      <c r="JR2" s="585"/>
      <c r="JS2" s="585"/>
      <c r="JT2" s="585"/>
      <c r="JU2" s="585"/>
      <c r="JV2" s="585"/>
      <c r="JW2" s="585"/>
      <c r="JX2" s="585"/>
      <c r="JY2" s="585"/>
      <c r="JZ2" s="585"/>
      <c r="KA2" s="585"/>
      <c r="KB2" s="585"/>
      <c r="KC2" s="585"/>
      <c r="KD2" s="585"/>
      <c r="KE2" s="585"/>
      <c r="KF2" s="585"/>
      <c r="KG2" s="585"/>
      <c r="KH2" s="585"/>
      <c r="KI2" s="585"/>
      <c r="KJ2" s="585"/>
      <c r="KK2" s="585"/>
      <c r="KL2" s="585"/>
      <c r="KM2" s="585"/>
      <c r="KN2" s="585"/>
      <c r="KO2" s="585"/>
      <c r="KP2" s="585"/>
      <c r="KQ2" s="585"/>
      <c r="KR2" s="585"/>
      <c r="KS2" s="585"/>
      <c r="KT2" s="585"/>
      <c r="KU2" s="585"/>
      <c r="KV2" s="585"/>
      <c r="KW2" s="585"/>
      <c r="KX2" s="585"/>
      <c r="KY2" s="585"/>
      <c r="KZ2" s="585"/>
      <c r="LA2" s="585"/>
      <c r="LB2" s="585"/>
      <c r="LC2" s="585"/>
      <c r="LD2" s="585"/>
      <c r="LE2" s="585"/>
      <c r="LF2" s="585"/>
      <c r="LG2" s="585"/>
      <c r="LH2" s="585"/>
      <c r="LI2" s="585"/>
      <c r="LJ2" s="585"/>
      <c r="LK2" s="585"/>
      <c r="LL2" s="585"/>
      <c r="LM2" s="585"/>
      <c r="LN2" s="585"/>
      <c r="LO2" s="585"/>
      <c r="LP2" s="585"/>
      <c r="LQ2" s="585"/>
    </row>
    <row r="3" spans="1:329" s="27" customFormat="1" ht="2.15" customHeight="1" thickBot="1" x14ac:dyDescent="0.3">
      <c r="A3" s="586"/>
      <c r="B3" s="587"/>
      <c r="C3" s="294">
        <v>1</v>
      </c>
      <c r="D3" s="294"/>
      <c r="E3" s="294"/>
      <c r="F3" s="295">
        <v>1</v>
      </c>
      <c r="G3" s="594"/>
      <c r="H3" s="588"/>
      <c r="I3" s="588"/>
      <c r="J3" s="588"/>
      <c r="K3" s="595"/>
      <c r="L3" s="31"/>
      <c r="M3" s="31"/>
      <c r="N3" s="31"/>
      <c r="O3" s="31"/>
      <c r="P3" s="31"/>
      <c r="Q3" s="31"/>
      <c r="R3" s="31"/>
      <c r="S3" s="31"/>
      <c r="T3" s="31"/>
      <c r="U3" s="31"/>
      <c r="V3" s="31"/>
      <c r="W3" s="31"/>
      <c r="X3" s="31"/>
      <c r="Y3" s="31"/>
      <c r="Z3" s="31"/>
      <c r="AA3" s="596"/>
      <c r="AB3" s="31"/>
      <c r="AC3" s="31"/>
      <c r="AD3" s="31"/>
      <c r="AE3" s="31"/>
      <c r="AF3" s="31"/>
      <c r="AG3" s="596"/>
      <c r="AH3" s="31"/>
      <c r="AI3" s="31"/>
      <c r="AJ3" s="31"/>
      <c r="AK3" s="31"/>
      <c r="AL3" s="588"/>
      <c r="AM3" s="593"/>
      <c r="AN3" s="585"/>
      <c r="AO3" s="585"/>
      <c r="AP3" s="585"/>
      <c r="AQ3" s="585"/>
      <c r="AR3" s="585"/>
      <c r="AS3" s="585"/>
      <c r="AT3" s="585"/>
      <c r="AU3" s="585"/>
      <c r="AV3" s="585"/>
      <c r="AW3" s="585"/>
      <c r="AX3" s="585"/>
      <c r="AY3" s="585"/>
      <c r="AZ3" s="585"/>
      <c r="BA3" s="585"/>
      <c r="BB3" s="585"/>
      <c r="BC3" s="585"/>
      <c r="BD3" s="585"/>
      <c r="BE3" s="585"/>
      <c r="BF3" s="585"/>
      <c r="BG3" s="585"/>
      <c r="BH3" s="585"/>
      <c r="BI3" s="585"/>
      <c r="BJ3" s="585"/>
      <c r="BK3" s="585"/>
      <c r="BL3" s="585"/>
      <c r="BM3" s="585"/>
      <c r="BN3" s="585"/>
      <c r="BO3" s="585"/>
      <c r="BP3" s="585"/>
      <c r="BQ3" s="585"/>
      <c r="BR3" s="585"/>
      <c r="BS3" s="585"/>
      <c r="BT3" s="585"/>
      <c r="BU3" s="585"/>
      <c r="BV3" s="585"/>
      <c r="BW3" s="585"/>
      <c r="BX3" s="585"/>
      <c r="BY3" s="585"/>
      <c r="BZ3" s="585"/>
      <c r="CA3" s="585"/>
      <c r="CB3" s="585"/>
      <c r="CC3" s="585"/>
      <c r="CD3" s="585"/>
      <c r="CE3" s="585"/>
      <c r="CF3" s="585"/>
      <c r="CG3" s="585"/>
      <c r="CH3" s="585"/>
      <c r="CI3" s="585"/>
      <c r="CJ3" s="585"/>
      <c r="CK3" s="585"/>
      <c r="CL3" s="585"/>
      <c r="CM3" s="585"/>
      <c r="CN3" s="585"/>
      <c r="CO3" s="585"/>
      <c r="CP3" s="585"/>
      <c r="CQ3" s="585"/>
      <c r="CR3" s="585"/>
      <c r="CS3" s="585"/>
      <c r="CT3" s="585"/>
      <c r="CU3" s="585"/>
      <c r="CV3" s="585"/>
      <c r="CW3" s="585"/>
      <c r="CX3" s="585"/>
      <c r="CY3" s="585"/>
      <c r="CZ3" s="585"/>
      <c r="DA3" s="585"/>
      <c r="DB3" s="585"/>
      <c r="DC3" s="585"/>
      <c r="DD3" s="585"/>
      <c r="DE3" s="585"/>
      <c r="DF3" s="585"/>
      <c r="DG3" s="585"/>
      <c r="DH3" s="585"/>
      <c r="DI3" s="585"/>
      <c r="DJ3" s="585"/>
      <c r="DK3" s="585"/>
      <c r="DL3" s="585"/>
      <c r="DM3" s="585"/>
      <c r="DN3" s="585"/>
      <c r="DO3" s="585"/>
      <c r="DP3" s="585"/>
      <c r="DQ3" s="585"/>
      <c r="DR3" s="585"/>
      <c r="DS3" s="585"/>
      <c r="DT3" s="585"/>
      <c r="DU3" s="585"/>
      <c r="DV3" s="585"/>
      <c r="DW3" s="585"/>
      <c r="DX3" s="585"/>
      <c r="DY3" s="585"/>
      <c r="DZ3" s="585"/>
      <c r="EA3" s="585"/>
      <c r="EB3" s="585"/>
      <c r="EC3" s="585"/>
      <c r="ED3" s="585"/>
      <c r="EE3" s="585"/>
      <c r="EF3" s="585"/>
      <c r="EG3" s="585"/>
      <c r="EH3" s="585"/>
      <c r="EI3" s="585"/>
      <c r="EJ3" s="585"/>
      <c r="EK3" s="585"/>
      <c r="EL3" s="585"/>
      <c r="EM3" s="585"/>
      <c r="EN3" s="585"/>
      <c r="EO3" s="585"/>
      <c r="EP3" s="585"/>
      <c r="EQ3" s="585"/>
      <c r="ER3" s="585"/>
      <c r="ES3" s="585"/>
      <c r="ET3" s="585"/>
      <c r="EU3" s="585"/>
      <c r="EV3" s="585"/>
      <c r="EW3" s="585"/>
      <c r="EX3" s="585"/>
      <c r="EY3" s="585"/>
      <c r="EZ3" s="585"/>
      <c r="FA3" s="585"/>
      <c r="FB3" s="585"/>
      <c r="FC3" s="585"/>
      <c r="FD3" s="585"/>
      <c r="FE3" s="585"/>
      <c r="FF3" s="585"/>
      <c r="FG3" s="585"/>
      <c r="FH3" s="585"/>
      <c r="FI3" s="585"/>
      <c r="FJ3" s="585"/>
      <c r="FK3" s="585"/>
      <c r="FL3" s="585"/>
      <c r="FM3" s="585"/>
      <c r="FN3" s="585"/>
      <c r="FO3" s="585"/>
      <c r="FP3" s="585"/>
      <c r="FQ3" s="585"/>
      <c r="FR3" s="585"/>
      <c r="FS3" s="585"/>
      <c r="FT3" s="585"/>
      <c r="FU3" s="585"/>
      <c r="FV3" s="585"/>
      <c r="FW3" s="585"/>
      <c r="FX3" s="585"/>
      <c r="FY3" s="585"/>
      <c r="FZ3" s="585"/>
      <c r="GA3" s="585"/>
      <c r="GB3" s="585"/>
      <c r="GC3" s="585"/>
      <c r="GD3" s="585"/>
      <c r="GE3" s="585"/>
      <c r="GF3" s="585"/>
      <c r="GG3" s="585"/>
      <c r="GH3" s="585"/>
      <c r="GI3" s="585"/>
      <c r="GJ3" s="585"/>
      <c r="GK3" s="585"/>
      <c r="GL3" s="585"/>
      <c r="GM3" s="585"/>
      <c r="GN3" s="585"/>
      <c r="GO3" s="585"/>
      <c r="GP3" s="585"/>
      <c r="GQ3" s="585"/>
      <c r="GR3" s="585"/>
      <c r="GS3" s="585"/>
      <c r="GT3" s="585"/>
      <c r="GU3" s="585"/>
      <c r="GV3" s="585"/>
      <c r="GW3" s="585"/>
      <c r="GX3" s="585"/>
      <c r="GY3" s="585"/>
      <c r="GZ3" s="585"/>
      <c r="HA3" s="585"/>
      <c r="HB3" s="585"/>
      <c r="HC3" s="585"/>
      <c r="HD3" s="585"/>
      <c r="HE3" s="585"/>
      <c r="HF3" s="585"/>
      <c r="HG3" s="585"/>
      <c r="HH3" s="585"/>
      <c r="HI3" s="585"/>
      <c r="HJ3" s="585"/>
      <c r="HK3" s="585"/>
      <c r="HL3" s="585"/>
      <c r="HM3" s="585"/>
      <c r="HN3" s="585"/>
      <c r="HO3" s="585"/>
      <c r="HP3" s="585"/>
      <c r="HQ3" s="585"/>
      <c r="HR3" s="585"/>
      <c r="HS3" s="585"/>
      <c r="HT3" s="585"/>
      <c r="HU3" s="585"/>
      <c r="HV3" s="585"/>
      <c r="HW3" s="585"/>
      <c r="HX3" s="585"/>
      <c r="HY3" s="585"/>
      <c r="HZ3" s="585"/>
      <c r="IA3" s="585"/>
      <c r="IB3" s="585"/>
      <c r="IC3" s="585"/>
      <c r="ID3" s="585"/>
      <c r="IE3" s="585"/>
      <c r="IF3" s="585"/>
      <c r="IG3" s="585"/>
      <c r="IH3" s="585"/>
      <c r="II3" s="585"/>
      <c r="IJ3" s="585"/>
      <c r="IK3" s="585"/>
      <c r="IL3" s="585"/>
      <c r="IM3" s="585"/>
      <c r="IN3" s="585"/>
      <c r="IO3" s="585"/>
      <c r="IP3" s="585"/>
      <c r="IQ3" s="585"/>
      <c r="IR3" s="585"/>
      <c r="IS3" s="585"/>
      <c r="IT3" s="585"/>
      <c r="IU3" s="585"/>
      <c r="IV3" s="585"/>
      <c r="IW3" s="585"/>
      <c r="IX3" s="585"/>
      <c r="IY3" s="585"/>
      <c r="IZ3" s="585"/>
      <c r="JA3" s="585"/>
      <c r="JB3" s="585"/>
      <c r="JC3" s="585"/>
      <c r="JD3" s="585"/>
      <c r="JE3" s="585"/>
      <c r="JF3" s="585"/>
      <c r="JG3" s="585"/>
      <c r="JH3" s="585"/>
      <c r="JI3" s="585"/>
      <c r="JJ3" s="585"/>
      <c r="JK3" s="585"/>
      <c r="JL3" s="585"/>
      <c r="JM3" s="585"/>
      <c r="JN3" s="585"/>
      <c r="JO3" s="585"/>
      <c r="JP3" s="585"/>
      <c r="JQ3" s="585"/>
      <c r="JR3" s="585"/>
      <c r="JS3" s="585"/>
      <c r="JT3" s="585"/>
      <c r="JU3" s="585"/>
      <c r="JV3" s="585"/>
      <c r="JW3" s="585"/>
      <c r="JX3" s="585"/>
      <c r="JY3" s="585"/>
      <c r="JZ3" s="585"/>
      <c r="KA3" s="585"/>
      <c r="KB3" s="585"/>
      <c r="KC3" s="585"/>
      <c r="KD3" s="585"/>
      <c r="KE3" s="585"/>
      <c r="KF3" s="585"/>
      <c r="KG3" s="585"/>
      <c r="KH3" s="585"/>
      <c r="KI3" s="585"/>
      <c r="KJ3" s="585"/>
      <c r="KK3" s="585"/>
      <c r="KL3" s="585"/>
      <c r="KM3" s="585"/>
      <c r="KN3" s="585"/>
      <c r="KO3" s="585"/>
      <c r="KP3" s="585"/>
      <c r="KQ3" s="585"/>
      <c r="KR3" s="585"/>
      <c r="KS3" s="585"/>
      <c r="KT3" s="585"/>
      <c r="KU3" s="585"/>
      <c r="KV3" s="585"/>
      <c r="KW3" s="585"/>
      <c r="KX3" s="585"/>
      <c r="KY3" s="585"/>
      <c r="KZ3" s="585"/>
      <c r="LA3" s="585"/>
      <c r="LB3" s="585"/>
      <c r="LC3" s="585"/>
      <c r="LD3" s="585"/>
      <c r="LE3" s="585"/>
      <c r="LF3" s="585"/>
      <c r="LG3" s="585"/>
      <c r="LH3" s="585"/>
      <c r="LI3" s="585"/>
      <c r="LJ3" s="585"/>
      <c r="LK3" s="585"/>
      <c r="LL3" s="585"/>
      <c r="LM3" s="585"/>
      <c r="LN3" s="585"/>
      <c r="LO3" s="585"/>
      <c r="LP3" s="585"/>
      <c r="LQ3" s="585"/>
    </row>
    <row r="4" spans="1:329" ht="15.75" customHeight="1" x14ac:dyDescent="0.25">
      <c r="A4" s="586"/>
      <c r="B4" s="597"/>
      <c r="D4" s="598" t="s">
        <v>48</v>
      </c>
      <c r="E4" s="599"/>
      <c r="F4" s="600"/>
      <c r="G4" s="601"/>
      <c r="H4" s="602"/>
      <c r="I4" s="603" t="s">
        <v>52</v>
      </c>
      <c r="J4" s="604"/>
      <c r="K4" s="605"/>
      <c r="L4" s="605"/>
      <c r="M4" s="606"/>
      <c r="N4" s="31"/>
      <c r="O4" s="31"/>
      <c r="P4" s="31"/>
      <c r="Q4" s="31"/>
      <c r="R4" s="31"/>
      <c r="S4" s="31"/>
      <c r="T4" s="31"/>
      <c r="U4" s="31"/>
      <c r="V4" s="595"/>
      <c r="W4" s="595"/>
      <c r="X4" s="595"/>
      <c r="Y4" s="31"/>
      <c r="Z4" s="607"/>
      <c r="AA4" s="608"/>
      <c r="AB4" s="31"/>
      <c r="AC4" s="31"/>
      <c r="AD4" s="31"/>
      <c r="AE4" s="31"/>
      <c r="AF4" s="31"/>
      <c r="AG4" s="608"/>
      <c r="AH4" s="31"/>
      <c r="AI4" s="31"/>
      <c r="AJ4" s="31"/>
      <c r="AK4" s="31"/>
      <c r="AL4" s="588"/>
      <c r="AM4" s="593"/>
    </row>
    <row r="5" spans="1:329" ht="15.75" customHeight="1" x14ac:dyDescent="0.25">
      <c r="A5" s="586"/>
      <c r="B5" s="597"/>
      <c r="D5" s="609"/>
      <c r="E5" s="610"/>
      <c r="F5" s="611"/>
      <c r="G5" s="612"/>
      <c r="H5" s="602"/>
      <c r="I5" s="1">
        <v>1</v>
      </c>
      <c r="J5" s="613" t="s">
        <v>50</v>
      </c>
      <c r="K5" s="614"/>
      <c r="L5" s="614"/>
      <c r="M5" s="615"/>
      <c r="N5" s="31"/>
      <c r="O5" s="31"/>
      <c r="P5" s="31"/>
      <c r="Q5" s="31"/>
      <c r="R5" s="31"/>
      <c r="S5" s="31"/>
      <c r="T5" s="31"/>
      <c r="U5" s="31"/>
      <c r="V5" s="595"/>
      <c r="W5" s="616"/>
      <c r="X5" s="595"/>
      <c r="Y5" s="607"/>
      <c r="Z5" s="607"/>
      <c r="AA5" s="608"/>
      <c r="AB5" s="31"/>
      <c r="AC5" s="31"/>
      <c r="AD5" s="31"/>
      <c r="AE5" s="31"/>
      <c r="AF5" s="31"/>
      <c r="AG5" s="608"/>
      <c r="AH5" s="31"/>
      <c r="AI5" s="31"/>
      <c r="AJ5" s="31"/>
      <c r="AK5" s="31"/>
      <c r="AL5" s="588"/>
      <c r="AM5" s="384"/>
    </row>
    <row r="6" spans="1:329" ht="15.75" customHeight="1" thickBot="1" x14ac:dyDescent="0.3">
      <c r="A6" s="586"/>
      <c r="B6" s="597"/>
      <c r="D6" s="617"/>
      <c r="E6" s="618"/>
      <c r="F6" s="619"/>
      <c r="G6" s="620"/>
      <c r="H6" s="602"/>
      <c r="I6" s="621"/>
      <c r="J6" s="622" t="s">
        <v>51</v>
      </c>
      <c r="K6" s="623"/>
      <c r="L6" s="623"/>
      <c r="M6" s="624"/>
      <c r="N6" s="31"/>
      <c r="O6" s="31"/>
      <c r="P6" s="31"/>
      <c r="Q6" s="31"/>
      <c r="R6" s="31"/>
      <c r="S6" s="31"/>
      <c r="T6" s="31"/>
      <c r="U6" s="31"/>
      <c r="V6" s="595"/>
      <c r="W6" s="595"/>
      <c r="X6" s="595"/>
      <c r="Y6" s="31"/>
      <c r="Z6" s="607"/>
      <c r="AA6" s="608"/>
      <c r="AB6" s="31"/>
      <c r="AC6" s="31"/>
      <c r="AD6" s="31"/>
      <c r="AE6" s="31"/>
      <c r="AF6" s="31"/>
      <c r="AG6" s="608"/>
      <c r="AH6" s="31"/>
      <c r="AI6" s="31"/>
      <c r="AJ6" s="31"/>
      <c r="AK6" s="31"/>
      <c r="AL6" s="588"/>
      <c r="AM6" s="593"/>
    </row>
    <row r="7" spans="1:329" ht="4.5" customHeight="1" thickBot="1" x14ac:dyDescent="0.3">
      <c r="A7" s="307"/>
      <c r="B7" s="308"/>
      <c r="C7" s="308"/>
      <c r="D7" s="308"/>
      <c r="E7" s="308"/>
      <c r="F7" s="308"/>
      <c r="G7" s="311"/>
      <c r="H7" s="308"/>
      <c r="I7" s="308"/>
      <c r="J7" s="308"/>
      <c r="K7" s="308"/>
      <c r="L7" s="308"/>
      <c r="M7" s="625"/>
      <c r="N7" s="27"/>
      <c r="O7" s="27"/>
      <c r="P7" s="27"/>
      <c r="Q7" s="27"/>
      <c r="R7" s="27"/>
      <c r="S7" s="27"/>
      <c r="T7" s="27"/>
      <c r="U7" s="27"/>
      <c r="V7" s="27"/>
      <c r="W7" s="27"/>
      <c r="X7" s="27"/>
      <c r="Y7" s="27">
        <v>5</v>
      </c>
      <c r="Z7" s="27"/>
      <c r="AA7" s="27"/>
      <c r="AB7" s="27"/>
      <c r="AC7" s="27"/>
      <c r="AD7" s="27"/>
      <c r="AE7" s="27"/>
      <c r="AF7" s="27"/>
      <c r="AG7" s="27"/>
      <c r="AH7" s="27"/>
      <c r="AI7" s="27"/>
      <c r="AJ7" s="27"/>
      <c r="AK7" s="31"/>
      <c r="AL7" s="27"/>
    </row>
    <row r="8" spans="1:329" s="30" customFormat="1" ht="18.75" customHeight="1" thickBot="1" x14ac:dyDescent="0.3">
      <c r="A8" s="626"/>
      <c r="B8" s="627"/>
      <c r="C8" s="628"/>
      <c r="D8" s="629" t="s">
        <v>44</v>
      </c>
      <c r="E8" s="629"/>
      <c r="F8" s="630" t="s">
        <v>63</v>
      </c>
      <c r="G8" s="601"/>
      <c r="H8" s="883" t="s">
        <v>236</v>
      </c>
      <c r="I8" s="590"/>
      <c r="J8" s="631" t="s">
        <v>298</v>
      </c>
      <c r="K8" s="632" t="s">
        <v>0</v>
      </c>
      <c r="L8" s="633"/>
      <c r="M8" s="634"/>
      <c r="N8" s="635"/>
      <c r="O8" s="590"/>
      <c r="P8" s="590"/>
      <c r="Q8" s="590"/>
      <c r="R8" s="590"/>
      <c r="S8" s="590"/>
      <c r="T8" s="590"/>
      <c r="U8" s="590"/>
      <c r="V8" s="29"/>
      <c r="W8" s="29"/>
      <c r="X8" s="29"/>
      <c r="Y8" s="29"/>
      <c r="Z8" s="29"/>
      <c r="AA8" s="29"/>
      <c r="AB8" s="29"/>
      <c r="AC8" s="29"/>
      <c r="AD8" s="29"/>
      <c r="AE8" s="29"/>
      <c r="AF8" s="29"/>
      <c r="AG8" s="29"/>
      <c r="AH8" s="29"/>
      <c r="AI8" s="29"/>
      <c r="AJ8" s="29"/>
      <c r="AK8" s="31"/>
      <c r="AL8" s="29"/>
      <c r="AM8" s="593"/>
      <c r="AN8" s="585"/>
      <c r="AO8" s="585"/>
      <c r="AP8" s="585"/>
      <c r="AQ8" s="585"/>
      <c r="AR8" s="585"/>
      <c r="AS8" s="585"/>
      <c r="AT8" s="585"/>
      <c r="AU8" s="585"/>
      <c r="AV8" s="585"/>
      <c r="AW8" s="585"/>
      <c r="AX8" s="585"/>
      <c r="AY8" s="585"/>
      <c r="AZ8" s="585"/>
      <c r="BA8" s="585"/>
      <c r="BB8" s="585"/>
      <c r="BC8" s="585"/>
      <c r="BD8" s="585"/>
      <c r="BE8" s="585"/>
      <c r="BF8" s="585"/>
      <c r="BG8" s="585"/>
      <c r="BH8" s="585"/>
      <c r="BI8" s="585"/>
      <c r="BJ8" s="585"/>
      <c r="BK8" s="585"/>
      <c r="BL8" s="585"/>
      <c r="BM8" s="585"/>
      <c r="BN8" s="585"/>
      <c r="BO8" s="585"/>
      <c r="BP8" s="585"/>
      <c r="BQ8" s="585"/>
      <c r="BR8" s="585"/>
      <c r="BS8" s="585"/>
      <c r="BT8" s="585"/>
      <c r="BU8" s="585"/>
      <c r="BV8" s="585"/>
      <c r="BW8" s="585"/>
      <c r="BX8" s="585"/>
      <c r="BY8" s="585"/>
      <c r="BZ8" s="585"/>
      <c r="CA8" s="585"/>
      <c r="CB8" s="585"/>
      <c r="CC8" s="585"/>
      <c r="CD8" s="585"/>
      <c r="CE8" s="585"/>
      <c r="CF8" s="585"/>
      <c r="CG8" s="585"/>
      <c r="CH8" s="585"/>
      <c r="CI8" s="585"/>
      <c r="CJ8" s="585"/>
      <c r="CK8" s="585"/>
      <c r="CL8" s="585"/>
      <c r="CM8" s="585"/>
      <c r="CN8" s="585"/>
      <c r="CO8" s="585"/>
      <c r="CP8" s="585"/>
      <c r="CQ8" s="585"/>
      <c r="CR8" s="585"/>
      <c r="CS8" s="585"/>
      <c r="CT8" s="585"/>
      <c r="CU8" s="585"/>
      <c r="CV8" s="585"/>
      <c r="CW8" s="585"/>
      <c r="CX8" s="585"/>
      <c r="CY8" s="585"/>
      <c r="CZ8" s="585"/>
      <c r="DA8" s="585"/>
      <c r="DB8" s="585"/>
      <c r="DC8" s="585"/>
      <c r="DD8" s="585"/>
      <c r="DE8" s="585"/>
      <c r="DF8" s="585"/>
      <c r="DG8" s="585"/>
      <c r="DH8" s="585"/>
      <c r="DI8" s="585"/>
      <c r="DJ8" s="585"/>
      <c r="DK8" s="585"/>
      <c r="DL8" s="585"/>
      <c r="DM8" s="585"/>
      <c r="DN8" s="585"/>
      <c r="DO8" s="585"/>
      <c r="DP8" s="585"/>
      <c r="DQ8" s="585"/>
      <c r="DR8" s="585"/>
      <c r="DS8" s="585"/>
      <c r="DT8" s="585"/>
      <c r="DU8" s="585"/>
      <c r="DV8" s="585"/>
      <c r="DW8" s="585"/>
      <c r="DX8" s="585"/>
      <c r="DY8" s="585"/>
      <c r="DZ8" s="585"/>
      <c r="EA8" s="585"/>
      <c r="EB8" s="585"/>
      <c r="EC8" s="585"/>
      <c r="ED8" s="585"/>
      <c r="EE8" s="585"/>
      <c r="EF8" s="585"/>
      <c r="EG8" s="585"/>
      <c r="EH8" s="585"/>
      <c r="EI8" s="585"/>
      <c r="EJ8" s="585"/>
      <c r="EK8" s="585"/>
      <c r="EL8" s="585"/>
      <c r="EM8" s="585"/>
      <c r="EN8" s="585"/>
      <c r="EO8" s="585"/>
      <c r="EP8" s="585"/>
      <c r="EQ8" s="585"/>
      <c r="ER8" s="585"/>
      <c r="ES8" s="585"/>
      <c r="ET8" s="585"/>
      <c r="EU8" s="585"/>
      <c r="EV8" s="585"/>
      <c r="EW8" s="585"/>
      <c r="EX8" s="585"/>
      <c r="EY8" s="585"/>
      <c r="EZ8" s="585"/>
      <c r="FA8" s="585"/>
      <c r="FB8" s="585"/>
      <c r="FC8" s="585"/>
      <c r="FD8" s="585"/>
      <c r="FE8" s="585"/>
      <c r="FF8" s="585"/>
      <c r="FG8" s="585"/>
      <c r="FH8" s="585"/>
      <c r="FI8" s="585"/>
      <c r="FJ8" s="585"/>
      <c r="FK8" s="585"/>
      <c r="FL8" s="585"/>
      <c r="FM8" s="585"/>
      <c r="FN8" s="585"/>
      <c r="FO8" s="585"/>
      <c r="FP8" s="585"/>
      <c r="FQ8" s="585"/>
      <c r="FR8" s="585"/>
      <c r="FS8" s="585"/>
      <c r="FT8" s="585"/>
      <c r="FU8" s="585"/>
      <c r="FV8" s="585"/>
      <c r="FW8" s="585"/>
      <c r="FX8" s="585"/>
      <c r="FY8" s="585"/>
      <c r="FZ8" s="585"/>
      <c r="GA8" s="585"/>
      <c r="GB8" s="585"/>
      <c r="GC8" s="585"/>
      <c r="GD8" s="585"/>
      <c r="GE8" s="585"/>
      <c r="GF8" s="585"/>
      <c r="GG8" s="585"/>
      <c r="GH8" s="585"/>
      <c r="GI8" s="585"/>
      <c r="GJ8" s="585"/>
      <c r="GK8" s="585"/>
      <c r="GL8" s="585"/>
      <c r="GM8" s="585"/>
      <c r="GN8" s="585"/>
      <c r="GO8" s="585"/>
      <c r="GP8" s="585"/>
      <c r="GQ8" s="585"/>
      <c r="GR8" s="585"/>
      <c r="GS8" s="585"/>
      <c r="GT8" s="585"/>
      <c r="GU8" s="585"/>
      <c r="GV8" s="585"/>
      <c r="GW8" s="585"/>
      <c r="GX8" s="585"/>
      <c r="GY8" s="585"/>
      <c r="GZ8" s="585"/>
      <c r="HA8" s="585"/>
      <c r="HB8" s="585"/>
      <c r="HC8" s="585"/>
      <c r="HD8" s="585"/>
      <c r="HE8" s="585"/>
      <c r="HF8" s="585"/>
      <c r="HG8" s="585"/>
      <c r="HH8" s="585"/>
      <c r="HI8" s="585"/>
      <c r="HJ8" s="585"/>
      <c r="HK8" s="585"/>
      <c r="HL8" s="585"/>
      <c r="HM8" s="585"/>
      <c r="HN8" s="585"/>
      <c r="HO8" s="585"/>
      <c r="HP8" s="585"/>
      <c r="HQ8" s="585"/>
      <c r="HR8" s="585"/>
      <c r="HS8" s="585"/>
      <c r="HT8" s="585"/>
      <c r="HU8" s="585"/>
      <c r="HV8" s="585"/>
      <c r="HW8" s="585"/>
      <c r="HX8" s="585"/>
      <c r="HY8" s="585"/>
      <c r="HZ8" s="585"/>
      <c r="IA8" s="585"/>
      <c r="IB8" s="585"/>
      <c r="IC8" s="585"/>
      <c r="ID8" s="585"/>
      <c r="IE8" s="585"/>
      <c r="IF8" s="585"/>
      <c r="IG8" s="585"/>
      <c r="IH8" s="585"/>
      <c r="II8" s="585"/>
      <c r="IJ8" s="585"/>
      <c r="IK8" s="585"/>
      <c r="IL8" s="585"/>
      <c r="IM8" s="585"/>
      <c r="IN8" s="585"/>
      <c r="IO8" s="585"/>
      <c r="IP8" s="585"/>
      <c r="IQ8" s="585"/>
      <c r="IR8" s="585"/>
      <c r="IS8" s="585"/>
      <c r="IT8" s="585"/>
      <c r="IU8" s="585"/>
      <c r="IV8" s="585"/>
      <c r="IW8" s="585"/>
      <c r="IX8" s="585"/>
      <c r="IY8" s="585"/>
      <c r="IZ8" s="585"/>
      <c r="JA8" s="585"/>
      <c r="JB8" s="585"/>
      <c r="JC8" s="585"/>
      <c r="JD8" s="585"/>
      <c r="JE8" s="585"/>
      <c r="JF8" s="585"/>
      <c r="JG8" s="585"/>
      <c r="JH8" s="585"/>
      <c r="JI8" s="585"/>
      <c r="JJ8" s="585"/>
      <c r="JK8" s="585"/>
      <c r="JL8" s="585"/>
      <c r="JM8" s="585"/>
      <c r="JN8" s="585"/>
      <c r="JO8" s="585"/>
      <c r="JP8" s="585"/>
      <c r="JQ8" s="585"/>
      <c r="JR8" s="585"/>
      <c r="JS8" s="585"/>
      <c r="JT8" s="585"/>
      <c r="JU8" s="585"/>
      <c r="JV8" s="585"/>
      <c r="JW8" s="585"/>
      <c r="JX8" s="585"/>
      <c r="JY8" s="585"/>
      <c r="JZ8" s="585"/>
      <c r="KA8" s="585"/>
      <c r="KB8" s="585"/>
      <c r="KC8" s="585"/>
      <c r="KD8" s="585"/>
      <c r="KE8" s="585"/>
      <c r="KF8" s="585"/>
      <c r="KG8" s="585"/>
      <c r="KH8" s="585"/>
      <c r="KI8" s="585"/>
      <c r="KJ8" s="585"/>
      <c r="KK8" s="585"/>
      <c r="KL8" s="585"/>
      <c r="KM8" s="585"/>
      <c r="KN8" s="585"/>
      <c r="KO8" s="585"/>
      <c r="KP8" s="585"/>
      <c r="KQ8" s="585"/>
      <c r="KR8" s="585"/>
      <c r="KS8" s="585"/>
      <c r="KT8" s="585"/>
      <c r="KU8" s="585"/>
      <c r="KV8" s="585"/>
      <c r="KW8" s="585"/>
      <c r="KX8" s="585"/>
      <c r="KY8" s="585"/>
      <c r="KZ8" s="585"/>
      <c r="LA8" s="585"/>
      <c r="LB8" s="585"/>
      <c r="LC8" s="585"/>
      <c r="LD8" s="585"/>
      <c r="LE8" s="585"/>
      <c r="LF8" s="585"/>
      <c r="LG8" s="585"/>
      <c r="LH8" s="585"/>
      <c r="LI8" s="585"/>
      <c r="LJ8" s="585"/>
      <c r="LK8" s="585"/>
      <c r="LL8" s="585"/>
      <c r="LM8" s="585"/>
      <c r="LN8" s="585"/>
      <c r="LO8" s="585"/>
      <c r="LP8" s="585"/>
      <c r="LQ8" s="585"/>
    </row>
    <row r="9" spans="1:329" s="32" customFormat="1" ht="18.75" customHeight="1" thickBot="1" x14ac:dyDescent="0.3">
      <c r="A9" s="307"/>
      <c r="B9" s="308"/>
      <c r="C9" s="636"/>
      <c r="D9" s="25" t="s">
        <v>295</v>
      </c>
      <c r="E9" s="637"/>
      <c r="F9" s="26">
        <v>100</v>
      </c>
      <c r="G9" s="638"/>
      <c r="H9" s="899" t="e">
        <f>W15/(0.05*LG ^0.75)</f>
        <v>#DIV/0!</v>
      </c>
      <c r="I9" s="590"/>
      <c r="J9" s="639" t="s">
        <v>140</v>
      </c>
      <c r="K9" s="640"/>
      <c r="L9" s="641" t="s">
        <v>1</v>
      </c>
      <c r="M9" s="642" t="s">
        <v>2</v>
      </c>
      <c r="N9" s="643" t="s">
        <v>141</v>
      </c>
      <c r="O9" s="590"/>
      <c r="P9" s="590"/>
      <c r="Q9" s="590"/>
      <c r="R9" s="590"/>
      <c r="S9" s="590"/>
      <c r="T9" s="590"/>
      <c r="U9" s="590"/>
      <c r="V9" s="644"/>
      <c r="W9" s="386" t="str">
        <f>"Bedarf de"&amp;IF(Art=1,"r Kuh",IF(Art=2,"s Schafes",IF(Art=3,"r Ziege","")))</f>
        <v>Bedarf der Kuh</v>
      </c>
      <c r="X9" s="387"/>
      <c r="Y9" s="388"/>
      <c r="Z9" s="388"/>
      <c r="AA9" s="388"/>
      <c r="AB9" s="388"/>
      <c r="AC9" s="388"/>
      <c r="AD9" s="388"/>
      <c r="AE9" s="427"/>
      <c r="AF9" s="646"/>
      <c r="AG9" s="645"/>
      <c r="AH9" s="647"/>
      <c r="AI9" s="27"/>
      <c r="AJ9" s="31"/>
      <c r="AK9" s="31"/>
      <c r="AL9" s="648"/>
      <c r="AM9" s="383"/>
      <c r="AN9" s="585"/>
      <c r="AO9" s="585"/>
      <c r="AP9" s="585"/>
      <c r="AQ9" s="585"/>
      <c r="AR9" s="585"/>
      <c r="AS9" s="585"/>
      <c r="AT9" s="585"/>
      <c r="AU9" s="585"/>
      <c r="AV9" s="585"/>
      <c r="AW9" s="585"/>
      <c r="AX9" s="585"/>
      <c r="AY9" s="585"/>
      <c r="AZ9" s="585"/>
      <c r="BA9" s="585"/>
      <c r="BB9" s="585"/>
      <c r="BC9" s="585"/>
      <c r="BD9" s="585"/>
      <c r="BE9" s="585"/>
      <c r="BF9" s="585"/>
      <c r="BG9" s="585"/>
      <c r="BH9" s="585"/>
      <c r="BI9" s="585"/>
      <c r="BJ9" s="585"/>
      <c r="BK9" s="585"/>
      <c r="BL9" s="585"/>
      <c r="BM9" s="585"/>
      <c r="BN9" s="585"/>
      <c r="BO9" s="585"/>
      <c r="BP9" s="585"/>
      <c r="BQ9" s="585"/>
      <c r="BR9" s="585"/>
      <c r="BS9" s="585"/>
      <c r="BT9" s="585"/>
      <c r="BU9" s="585"/>
      <c r="BV9" s="585"/>
      <c r="BW9" s="585"/>
      <c r="BX9" s="585"/>
      <c r="BY9" s="585"/>
      <c r="BZ9" s="585"/>
      <c r="CA9" s="585"/>
      <c r="CB9" s="585"/>
      <c r="CC9" s="585"/>
      <c r="CD9" s="585"/>
      <c r="CE9" s="585"/>
      <c r="CF9" s="585"/>
      <c r="CG9" s="585"/>
      <c r="CH9" s="585"/>
      <c r="CI9" s="585"/>
      <c r="CJ9" s="585"/>
      <c r="CK9" s="585"/>
      <c r="CL9" s="585"/>
      <c r="CM9" s="585"/>
      <c r="CN9" s="585"/>
      <c r="CO9" s="585"/>
      <c r="CP9" s="585"/>
      <c r="CQ9" s="585"/>
      <c r="CR9" s="585"/>
      <c r="CS9" s="585"/>
      <c r="CT9" s="585"/>
      <c r="CU9" s="585"/>
      <c r="CV9" s="585"/>
      <c r="CW9" s="585"/>
      <c r="CX9" s="585"/>
      <c r="CY9" s="585"/>
      <c r="CZ9" s="585"/>
      <c r="DA9" s="585"/>
      <c r="DB9" s="585"/>
      <c r="DC9" s="585"/>
      <c r="DD9" s="585"/>
      <c r="DE9" s="585"/>
      <c r="DF9" s="585"/>
      <c r="DG9" s="585"/>
      <c r="DH9" s="585"/>
      <c r="DI9" s="585"/>
      <c r="DJ9" s="585"/>
      <c r="DK9" s="585"/>
      <c r="DL9" s="585"/>
      <c r="DM9" s="585"/>
      <c r="DN9" s="585"/>
      <c r="DO9" s="585"/>
      <c r="DP9" s="585"/>
      <c r="DQ9" s="585"/>
      <c r="DR9" s="585"/>
      <c r="DS9" s="585"/>
      <c r="DT9" s="585"/>
      <c r="DU9" s="585"/>
      <c r="DV9" s="585"/>
      <c r="DW9" s="585"/>
      <c r="DX9" s="585"/>
      <c r="DY9" s="585"/>
      <c r="DZ9" s="585"/>
      <c r="EA9" s="585"/>
      <c r="EB9" s="585"/>
      <c r="EC9" s="585"/>
      <c r="ED9" s="585"/>
      <c r="EE9" s="585"/>
      <c r="EF9" s="585"/>
      <c r="EG9" s="585"/>
      <c r="EH9" s="585"/>
      <c r="EI9" s="585"/>
      <c r="EJ9" s="585"/>
      <c r="EK9" s="585"/>
      <c r="EL9" s="585"/>
      <c r="EM9" s="585"/>
      <c r="EN9" s="585"/>
      <c r="EO9" s="585"/>
      <c r="EP9" s="585"/>
      <c r="EQ9" s="585"/>
      <c r="ER9" s="585"/>
      <c r="ES9" s="585"/>
      <c r="ET9" s="585"/>
      <c r="EU9" s="585"/>
      <c r="EV9" s="585"/>
      <c r="EW9" s="585"/>
      <c r="EX9" s="585"/>
      <c r="EY9" s="585"/>
      <c r="EZ9" s="585"/>
      <c r="FA9" s="585"/>
      <c r="FB9" s="585"/>
      <c r="FC9" s="585"/>
      <c r="FD9" s="585"/>
      <c r="FE9" s="585"/>
      <c r="FF9" s="585"/>
      <c r="FG9" s="585"/>
      <c r="FH9" s="585"/>
      <c r="FI9" s="585"/>
      <c r="FJ9" s="585"/>
      <c r="FK9" s="585"/>
      <c r="FL9" s="585"/>
      <c r="FM9" s="585"/>
      <c r="FN9" s="585"/>
      <c r="FO9" s="585"/>
      <c r="FP9" s="585"/>
      <c r="FQ9" s="585"/>
      <c r="FR9" s="585"/>
      <c r="FS9" s="585"/>
      <c r="FT9" s="585"/>
      <c r="FU9" s="585"/>
      <c r="FV9" s="585"/>
      <c r="FW9" s="585"/>
      <c r="FX9" s="585"/>
      <c r="FY9" s="585"/>
      <c r="FZ9" s="585"/>
      <c r="GA9" s="585"/>
      <c r="GB9" s="585"/>
      <c r="GC9" s="585"/>
      <c r="GD9" s="585"/>
      <c r="GE9" s="585"/>
      <c r="GF9" s="585"/>
      <c r="GG9" s="585"/>
      <c r="GH9" s="585"/>
      <c r="GI9" s="585"/>
      <c r="GJ9" s="585"/>
      <c r="GK9" s="585"/>
      <c r="GL9" s="585"/>
      <c r="GM9" s="585"/>
      <c r="GN9" s="585"/>
      <c r="GO9" s="585"/>
      <c r="GP9" s="585"/>
      <c r="GQ9" s="585"/>
      <c r="GR9" s="585"/>
      <c r="GS9" s="585"/>
      <c r="GT9" s="585"/>
      <c r="GU9" s="585"/>
      <c r="GV9" s="585"/>
      <c r="GW9" s="585"/>
      <c r="GX9" s="585"/>
      <c r="GY9" s="585"/>
      <c r="GZ9" s="585"/>
      <c r="HA9" s="585"/>
      <c r="HB9" s="585"/>
      <c r="HC9" s="585"/>
      <c r="HD9" s="585"/>
      <c r="HE9" s="585"/>
      <c r="HF9" s="585"/>
      <c r="HG9" s="585"/>
      <c r="HH9" s="585"/>
      <c r="HI9" s="585"/>
      <c r="HJ9" s="585"/>
      <c r="HK9" s="585"/>
      <c r="HL9" s="585"/>
      <c r="HM9" s="585"/>
      <c r="HN9" s="585"/>
      <c r="HO9" s="585"/>
      <c r="HP9" s="585"/>
      <c r="HQ9" s="585"/>
      <c r="HR9" s="585"/>
      <c r="HS9" s="585"/>
      <c r="HT9" s="585"/>
      <c r="HU9" s="585"/>
      <c r="HV9" s="585"/>
      <c r="HW9" s="585"/>
      <c r="HX9" s="585"/>
      <c r="HY9" s="585"/>
      <c r="HZ9" s="585"/>
      <c r="IA9" s="585"/>
      <c r="IB9" s="585"/>
      <c r="IC9" s="585"/>
      <c r="ID9" s="585"/>
      <c r="IE9" s="585"/>
      <c r="IF9" s="585"/>
      <c r="IG9" s="585"/>
      <c r="IH9" s="585"/>
      <c r="II9" s="585"/>
      <c r="IJ9" s="585"/>
      <c r="IK9" s="585"/>
      <c r="IL9" s="585"/>
      <c r="IM9" s="585"/>
      <c r="IN9" s="585"/>
      <c r="IO9" s="585"/>
      <c r="IP9" s="585"/>
      <c r="IQ9" s="585"/>
      <c r="IR9" s="585"/>
      <c r="IS9" s="585"/>
      <c r="IT9" s="585"/>
      <c r="IU9" s="585"/>
      <c r="IV9" s="585"/>
      <c r="IW9" s="585"/>
      <c r="IX9" s="585"/>
      <c r="IY9" s="585"/>
      <c r="IZ9" s="585"/>
      <c r="JA9" s="585"/>
      <c r="JB9" s="585"/>
      <c r="JC9" s="585"/>
      <c r="JD9" s="585"/>
      <c r="JE9" s="585"/>
      <c r="JF9" s="585"/>
      <c r="JG9" s="585"/>
      <c r="JH9" s="585"/>
      <c r="JI9" s="585"/>
      <c r="JJ9" s="585"/>
      <c r="JK9" s="585"/>
      <c r="JL9" s="585"/>
      <c r="JM9" s="585"/>
      <c r="JN9" s="585"/>
      <c r="JO9" s="585"/>
      <c r="JP9" s="585"/>
      <c r="JQ9" s="585"/>
      <c r="JR9" s="585"/>
      <c r="JS9" s="585"/>
      <c r="JT9" s="585"/>
      <c r="JU9" s="585"/>
      <c r="JV9" s="585"/>
      <c r="JW9" s="585"/>
      <c r="JX9" s="585"/>
      <c r="JY9" s="585"/>
      <c r="JZ9" s="585"/>
      <c r="KA9" s="585"/>
      <c r="KB9" s="585"/>
      <c r="KC9" s="585"/>
      <c r="KD9" s="585"/>
      <c r="KE9" s="585"/>
      <c r="KF9" s="585"/>
      <c r="KG9" s="585"/>
      <c r="KH9" s="585"/>
      <c r="KI9" s="585"/>
      <c r="KJ9" s="585"/>
      <c r="KK9" s="585"/>
      <c r="KL9" s="585"/>
      <c r="KM9" s="585"/>
      <c r="KN9" s="585"/>
      <c r="KO9" s="585"/>
      <c r="KP9" s="585"/>
      <c r="KQ9" s="585"/>
      <c r="KR9" s="585"/>
      <c r="KS9" s="585"/>
      <c r="KT9" s="585"/>
      <c r="KU9" s="585"/>
      <c r="KV9" s="585"/>
      <c r="KW9" s="585"/>
      <c r="KX9" s="585"/>
      <c r="KY9" s="585"/>
      <c r="KZ9" s="585"/>
      <c r="LA9" s="585"/>
      <c r="LB9" s="585"/>
      <c r="LC9" s="585"/>
      <c r="LD9" s="585"/>
      <c r="LE9" s="585"/>
      <c r="LF9" s="585"/>
      <c r="LG9" s="585"/>
      <c r="LH9" s="585"/>
      <c r="LI9" s="585"/>
      <c r="LJ9" s="585"/>
      <c r="LK9" s="585"/>
      <c r="LL9" s="585"/>
      <c r="LM9" s="585"/>
      <c r="LN9" s="585"/>
      <c r="LO9" s="585"/>
      <c r="LP9" s="585"/>
      <c r="LQ9" s="585"/>
    </row>
    <row r="10" spans="1:329" s="32" customFormat="1" ht="18.649999999999999" customHeight="1" thickBot="1" x14ac:dyDescent="0.3">
      <c r="A10" s="313"/>
      <c r="B10" s="649"/>
      <c r="C10" s="649"/>
      <c r="D10" s="650"/>
      <c r="E10" s="650"/>
      <c r="F10" s="650"/>
      <c r="G10" s="650"/>
      <c r="H10" s="650"/>
      <c r="I10" s="590"/>
      <c r="J10" s="651" t="s">
        <v>4</v>
      </c>
      <c r="K10" s="652" t="s">
        <v>5</v>
      </c>
      <c r="L10" s="653" t="s">
        <v>6</v>
      </c>
      <c r="M10" s="654" t="s">
        <v>6</v>
      </c>
      <c r="N10" s="655" t="s">
        <v>6</v>
      </c>
      <c r="O10" s="590"/>
      <c r="P10" s="590"/>
      <c r="Q10" s="590"/>
      <c r="R10" s="590"/>
      <c r="S10" s="590"/>
      <c r="T10" s="590"/>
      <c r="U10" s="590"/>
      <c r="V10" s="31"/>
      <c r="W10" s="424"/>
      <c r="X10" s="47"/>
      <c r="Y10" s="338" t="s">
        <v>36</v>
      </c>
      <c r="Z10" s="338" t="s">
        <v>211</v>
      </c>
      <c r="AA10" s="338" t="s">
        <v>212</v>
      </c>
      <c r="AB10" s="338" t="s">
        <v>167</v>
      </c>
      <c r="AC10" s="338" t="s">
        <v>142</v>
      </c>
      <c r="AD10" s="426" t="s">
        <v>124</v>
      </c>
      <c r="AE10" s="339" t="s">
        <v>125</v>
      </c>
      <c r="AF10" s="656" t="str">
        <f>AI18</f>
        <v>bST</v>
      </c>
      <c r="AG10" s="657" t="s">
        <v>143</v>
      </c>
      <c r="AH10" s="658" t="s">
        <v>144</v>
      </c>
      <c r="AI10" s="29"/>
      <c r="AJ10" s="31"/>
      <c r="AK10" s="31"/>
      <c r="AL10" s="648"/>
      <c r="AM10" s="659"/>
      <c r="AN10" s="585"/>
      <c r="AO10" s="585"/>
      <c r="AP10" s="585"/>
      <c r="AQ10" s="585"/>
      <c r="AR10" s="585"/>
      <c r="AS10" s="585"/>
      <c r="AT10" s="585"/>
      <c r="AU10" s="585"/>
      <c r="AV10" s="585"/>
      <c r="AW10" s="585"/>
      <c r="AX10" s="585"/>
      <c r="AY10" s="585"/>
      <c r="AZ10" s="585"/>
      <c r="BA10" s="585"/>
      <c r="BB10" s="585"/>
      <c r="BC10" s="585"/>
      <c r="BD10" s="585"/>
      <c r="BE10" s="585"/>
      <c r="BF10" s="585"/>
      <c r="BG10" s="585"/>
      <c r="BH10" s="585"/>
      <c r="BI10" s="585"/>
      <c r="BJ10" s="585"/>
      <c r="BK10" s="585"/>
      <c r="BL10" s="585"/>
      <c r="BM10" s="585"/>
      <c r="BN10" s="585"/>
      <c r="BO10" s="585"/>
      <c r="BP10" s="585"/>
      <c r="BQ10" s="585"/>
      <c r="BR10" s="585"/>
      <c r="BS10" s="585"/>
      <c r="BT10" s="585"/>
      <c r="BU10" s="585"/>
      <c r="BV10" s="585"/>
      <c r="BW10" s="585"/>
      <c r="BX10" s="585"/>
      <c r="BY10" s="585"/>
      <c r="BZ10" s="585"/>
      <c r="CA10" s="585"/>
      <c r="CB10" s="585"/>
      <c r="CC10" s="585"/>
      <c r="CD10" s="585"/>
      <c r="CE10" s="585"/>
      <c r="CF10" s="585"/>
      <c r="CG10" s="585"/>
      <c r="CH10" s="585"/>
      <c r="CI10" s="585"/>
      <c r="CJ10" s="585"/>
      <c r="CK10" s="585"/>
      <c r="CL10" s="585"/>
      <c r="CM10" s="585"/>
      <c r="CN10" s="585"/>
      <c r="CO10" s="585"/>
      <c r="CP10" s="585"/>
      <c r="CQ10" s="585"/>
      <c r="CR10" s="585"/>
      <c r="CS10" s="585"/>
      <c r="CT10" s="585"/>
      <c r="CU10" s="585"/>
      <c r="CV10" s="585"/>
      <c r="CW10" s="585"/>
      <c r="CX10" s="585"/>
      <c r="CY10" s="585"/>
      <c r="CZ10" s="585"/>
      <c r="DA10" s="585"/>
      <c r="DB10" s="585"/>
      <c r="DC10" s="585"/>
      <c r="DD10" s="585"/>
      <c r="DE10" s="585"/>
      <c r="DF10" s="585"/>
      <c r="DG10" s="585"/>
      <c r="DH10" s="585"/>
      <c r="DI10" s="585"/>
      <c r="DJ10" s="585"/>
      <c r="DK10" s="585"/>
      <c r="DL10" s="585"/>
      <c r="DM10" s="585"/>
      <c r="DN10" s="585"/>
      <c r="DO10" s="585"/>
      <c r="DP10" s="585"/>
      <c r="DQ10" s="585"/>
      <c r="DR10" s="585"/>
      <c r="DS10" s="585"/>
      <c r="DT10" s="585"/>
      <c r="DU10" s="585"/>
      <c r="DV10" s="585"/>
      <c r="DW10" s="585"/>
      <c r="DX10" s="585"/>
      <c r="DY10" s="585"/>
      <c r="DZ10" s="585"/>
      <c r="EA10" s="585"/>
      <c r="EB10" s="585"/>
      <c r="EC10" s="585"/>
      <c r="ED10" s="585"/>
      <c r="EE10" s="585"/>
      <c r="EF10" s="585"/>
      <c r="EG10" s="585"/>
      <c r="EH10" s="585"/>
      <c r="EI10" s="585"/>
      <c r="EJ10" s="585"/>
      <c r="EK10" s="585"/>
      <c r="EL10" s="585"/>
      <c r="EM10" s="585"/>
      <c r="EN10" s="585"/>
      <c r="EO10" s="585"/>
      <c r="EP10" s="585"/>
      <c r="EQ10" s="585"/>
      <c r="ER10" s="585"/>
      <c r="ES10" s="585"/>
      <c r="ET10" s="585"/>
      <c r="EU10" s="585"/>
      <c r="EV10" s="585"/>
      <c r="EW10" s="585"/>
      <c r="EX10" s="585"/>
      <c r="EY10" s="585"/>
      <c r="EZ10" s="585"/>
      <c r="FA10" s="585"/>
      <c r="FB10" s="585"/>
      <c r="FC10" s="585"/>
      <c r="FD10" s="585"/>
      <c r="FE10" s="585"/>
      <c r="FF10" s="585"/>
      <c r="FG10" s="585"/>
      <c r="FH10" s="585"/>
      <c r="FI10" s="585"/>
      <c r="FJ10" s="585"/>
      <c r="FK10" s="585"/>
      <c r="FL10" s="585"/>
      <c r="FM10" s="585"/>
      <c r="FN10" s="585"/>
      <c r="FO10" s="585"/>
      <c r="FP10" s="585"/>
      <c r="FQ10" s="585"/>
      <c r="FR10" s="585"/>
      <c r="FS10" s="585"/>
      <c r="FT10" s="585"/>
      <c r="FU10" s="585"/>
      <c r="FV10" s="585"/>
      <c r="FW10" s="585"/>
      <c r="FX10" s="585"/>
      <c r="FY10" s="585"/>
      <c r="FZ10" s="585"/>
      <c r="GA10" s="585"/>
      <c r="GB10" s="585"/>
      <c r="GC10" s="585"/>
      <c r="GD10" s="585"/>
      <c r="GE10" s="585"/>
      <c r="GF10" s="585"/>
      <c r="GG10" s="585"/>
      <c r="GH10" s="585"/>
      <c r="GI10" s="585"/>
      <c r="GJ10" s="585"/>
      <c r="GK10" s="585"/>
      <c r="GL10" s="585"/>
      <c r="GM10" s="585"/>
      <c r="GN10" s="585"/>
      <c r="GO10" s="585"/>
      <c r="GP10" s="585"/>
      <c r="GQ10" s="585"/>
      <c r="GR10" s="585"/>
      <c r="GS10" s="585"/>
      <c r="GT10" s="585"/>
      <c r="GU10" s="585"/>
      <c r="GV10" s="585"/>
      <c r="GW10" s="585"/>
      <c r="GX10" s="585"/>
      <c r="GY10" s="585"/>
      <c r="GZ10" s="585"/>
      <c r="HA10" s="585"/>
      <c r="HB10" s="585"/>
      <c r="HC10" s="585"/>
      <c r="HD10" s="585"/>
      <c r="HE10" s="585"/>
      <c r="HF10" s="585"/>
      <c r="HG10" s="585"/>
      <c r="HH10" s="585"/>
      <c r="HI10" s="585"/>
      <c r="HJ10" s="585"/>
      <c r="HK10" s="585"/>
      <c r="HL10" s="585"/>
      <c r="HM10" s="585"/>
      <c r="HN10" s="585"/>
      <c r="HO10" s="585"/>
      <c r="HP10" s="585"/>
      <c r="HQ10" s="585"/>
      <c r="HR10" s="585"/>
      <c r="HS10" s="585"/>
      <c r="HT10" s="585"/>
      <c r="HU10" s="585"/>
      <c r="HV10" s="585"/>
      <c r="HW10" s="585"/>
      <c r="HX10" s="585"/>
      <c r="HY10" s="585"/>
      <c r="HZ10" s="585"/>
      <c r="IA10" s="585"/>
      <c r="IB10" s="585"/>
      <c r="IC10" s="585"/>
      <c r="ID10" s="585"/>
      <c r="IE10" s="585"/>
      <c r="IF10" s="585"/>
      <c r="IG10" s="585"/>
      <c r="IH10" s="585"/>
      <c r="II10" s="585"/>
      <c r="IJ10" s="585"/>
      <c r="IK10" s="585"/>
      <c r="IL10" s="585"/>
      <c r="IM10" s="585"/>
      <c r="IN10" s="585"/>
      <c r="IO10" s="585"/>
      <c r="IP10" s="585"/>
      <c r="IQ10" s="585"/>
      <c r="IR10" s="585"/>
      <c r="IS10" s="585"/>
      <c r="IT10" s="585"/>
      <c r="IU10" s="585"/>
      <c r="IV10" s="585"/>
      <c r="IW10" s="585"/>
      <c r="IX10" s="585"/>
      <c r="IY10" s="585"/>
      <c r="IZ10" s="585"/>
      <c r="JA10" s="585"/>
      <c r="JB10" s="585"/>
      <c r="JC10" s="585"/>
      <c r="JD10" s="585"/>
      <c r="JE10" s="585"/>
      <c r="JF10" s="585"/>
      <c r="JG10" s="585"/>
      <c r="JH10" s="585"/>
      <c r="JI10" s="585"/>
      <c r="JJ10" s="585"/>
      <c r="JK10" s="585"/>
      <c r="JL10" s="585"/>
      <c r="JM10" s="585"/>
      <c r="JN10" s="585"/>
      <c r="JO10" s="585"/>
      <c r="JP10" s="585"/>
      <c r="JQ10" s="585"/>
      <c r="JR10" s="585"/>
      <c r="JS10" s="585"/>
      <c r="JT10" s="585"/>
      <c r="JU10" s="585"/>
      <c r="JV10" s="585"/>
      <c r="JW10" s="585"/>
      <c r="JX10" s="585"/>
      <c r="JY10" s="585"/>
      <c r="JZ10" s="585"/>
      <c r="KA10" s="585"/>
      <c r="KB10" s="585"/>
      <c r="KC10" s="585"/>
      <c r="KD10" s="585"/>
      <c r="KE10" s="585"/>
      <c r="KF10" s="585"/>
      <c r="KG10" s="585"/>
      <c r="KH10" s="585"/>
      <c r="KI10" s="585"/>
      <c r="KJ10" s="585"/>
      <c r="KK10" s="585"/>
      <c r="KL10" s="585"/>
      <c r="KM10" s="585"/>
      <c r="KN10" s="585"/>
      <c r="KO10" s="585"/>
      <c r="KP10" s="585"/>
      <c r="KQ10" s="585"/>
      <c r="KR10" s="585"/>
      <c r="KS10" s="585"/>
      <c r="KT10" s="585"/>
      <c r="KU10" s="585"/>
      <c r="KV10" s="585"/>
      <c r="KW10" s="585"/>
      <c r="KX10" s="585"/>
      <c r="KY10" s="585"/>
      <c r="KZ10" s="585"/>
      <c r="LA10" s="585"/>
      <c r="LB10" s="585"/>
      <c r="LC10" s="585"/>
      <c r="LD10" s="585"/>
      <c r="LE10" s="585"/>
      <c r="LF10" s="585"/>
      <c r="LG10" s="585"/>
      <c r="LH10" s="585"/>
      <c r="LI10" s="585"/>
      <c r="LJ10" s="585"/>
      <c r="LK10" s="585"/>
      <c r="LL10" s="585"/>
      <c r="LM10" s="585"/>
      <c r="LN10" s="585"/>
      <c r="LO10" s="585"/>
      <c r="LP10" s="585"/>
      <c r="LQ10" s="585"/>
    </row>
    <row r="11" spans="1:329" s="32" customFormat="1" ht="25.5" customHeight="1" thickBot="1" x14ac:dyDescent="0.3">
      <c r="A11" s="313"/>
      <c r="B11" s="649"/>
      <c r="C11" s="649">
        <v>1</v>
      </c>
      <c r="D11" s="650">
        <v>1</v>
      </c>
      <c r="E11" s="650"/>
      <c r="F11" s="650"/>
      <c r="G11" s="650"/>
      <c r="H11" s="650"/>
      <c r="I11" s="590"/>
      <c r="J11" s="859">
        <v>0</v>
      </c>
      <c r="K11" s="860">
        <v>0</v>
      </c>
      <c r="L11" s="861"/>
      <c r="M11" s="862"/>
      <c r="N11" s="862"/>
      <c r="O11" s="590"/>
      <c r="P11" s="590"/>
      <c r="Q11" s="590"/>
      <c r="R11" s="590"/>
      <c r="S11" s="590"/>
      <c r="T11" s="590"/>
      <c r="U11" s="590"/>
      <c r="V11" s="660"/>
      <c r="W11" s="40" t="s">
        <v>4</v>
      </c>
      <c r="X11" s="48"/>
      <c r="Y11" s="362" t="str">
        <f>I19</f>
        <v>MJ</v>
      </c>
      <c r="Z11" s="362" t="s">
        <v>9</v>
      </c>
      <c r="AA11" s="49" t="str">
        <f>IF($C$3=1,RNBmin&amp;" bis "&amp;RNBmax&amp;" "&amp;Einstellungen!B8,"")</f>
        <v xml:space="preserve">-1,5 bis 0 g/kg TM </v>
      </c>
      <c r="AB11" s="50" t="str">
        <f>"&lt; "&amp;XSmax&amp;Einstellungen!B15</f>
        <v>&lt; 200g/kg TM</v>
      </c>
      <c r="AC11" s="50" t="str">
        <f>"&lt; "&amp;pab_max&amp;" "&amp;Einstellungen!B18</f>
        <v xml:space="preserve">&lt; 250 g/kg TM </v>
      </c>
      <c r="AD11" s="50" t="str">
        <f>"&gt; "&amp;NDFmin&amp;" "&amp;Einstellungen!B13</f>
        <v xml:space="preserve">&gt; 350 g/kg TM </v>
      </c>
      <c r="AE11" s="428" t="str">
        <f>"&gt; "&amp;aNDFomGF_min&amp;" "&amp;Einstellungen!B13</f>
        <v xml:space="preserve">&gt; 280 g/kg TM </v>
      </c>
      <c r="AF11" s="661" t="s">
        <v>134</v>
      </c>
      <c r="AG11" s="662" t="str">
        <f>"&lt; "&amp;XZmax&amp;" "&amp;Einstellungen!B16</f>
        <v xml:space="preserve">&lt; 75 g/kg TM </v>
      </c>
      <c r="AH11" s="663" t="str">
        <f>"&lt; "&amp;XLmax&amp;" "&amp;Einstellungen!B17</f>
        <v xml:space="preserve">&lt; 40 g/kg TM </v>
      </c>
      <c r="AI11" s="27"/>
      <c r="AJ11" s="31"/>
      <c r="AK11" s="31"/>
      <c r="AL11" s="648"/>
      <c r="AM11" s="659"/>
      <c r="AN11" s="585"/>
      <c r="AO11" s="585"/>
      <c r="AP11" s="585"/>
      <c r="AQ11" s="585"/>
      <c r="AR11" s="585"/>
      <c r="AS11" s="585"/>
      <c r="AT11" s="585"/>
      <c r="AU11" s="585"/>
      <c r="AV11" s="585"/>
      <c r="AW11" s="585"/>
      <c r="AX11" s="585"/>
      <c r="AY11" s="585"/>
      <c r="AZ11" s="585"/>
      <c r="BA11" s="585"/>
      <c r="BB11" s="585"/>
      <c r="BC11" s="585"/>
      <c r="BD11" s="585"/>
      <c r="BE11" s="585"/>
      <c r="BF11" s="585"/>
      <c r="BG11" s="585"/>
      <c r="BH11" s="585"/>
      <c r="BI11" s="585"/>
      <c r="BJ11" s="585"/>
      <c r="BK11" s="585"/>
      <c r="BL11" s="585"/>
      <c r="BM11" s="585"/>
      <c r="BN11" s="585"/>
      <c r="BO11" s="585"/>
      <c r="BP11" s="585"/>
      <c r="BQ11" s="585"/>
      <c r="BR11" s="585"/>
      <c r="BS11" s="585"/>
      <c r="BT11" s="585"/>
      <c r="BU11" s="585"/>
      <c r="BV11" s="585"/>
      <c r="BW11" s="585"/>
      <c r="BX11" s="585"/>
      <c r="BY11" s="585"/>
      <c r="BZ11" s="585"/>
      <c r="CA11" s="585"/>
      <c r="CB11" s="585"/>
      <c r="CC11" s="585"/>
      <c r="CD11" s="585"/>
      <c r="CE11" s="585"/>
      <c r="CF11" s="585"/>
      <c r="CG11" s="585"/>
      <c r="CH11" s="585"/>
      <c r="CI11" s="585"/>
      <c r="CJ11" s="585"/>
      <c r="CK11" s="585"/>
      <c r="CL11" s="585"/>
      <c r="CM11" s="585"/>
      <c r="CN11" s="585"/>
      <c r="CO11" s="585"/>
      <c r="CP11" s="585"/>
      <c r="CQ11" s="585"/>
      <c r="CR11" s="585"/>
      <c r="CS11" s="585"/>
      <c r="CT11" s="585"/>
      <c r="CU11" s="585"/>
      <c r="CV11" s="585"/>
      <c r="CW11" s="585"/>
      <c r="CX11" s="585"/>
      <c r="CY11" s="585"/>
      <c r="CZ11" s="585"/>
      <c r="DA11" s="585"/>
      <c r="DB11" s="585"/>
      <c r="DC11" s="585"/>
      <c r="DD11" s="585"/>
      <c r="DE11" s="585"/>
      <c r="DF11" s="585"/>
      <c r="DG11" s="585"/>
      <c r="DH11" s="585"/>
      <c r="DI11" s="585"/>
      <c r="DJ11" s="585"/>
      <c r="DK11" s="585"/>
      <c r="DL11" s="585"/>
      <c r="DM11" s="585"/>
      <c r="DN11" s="585"/>
      <c r="DO11" s="585"/>
      <c r="DP11" s="585"/>
      <c r="DQ11" s="585"/>
      <c r="DR11" s="585"/>
      <c r="DS11" s="585"/>
      <c r="DT11" s="585"/>
      <c r="DU11" s="585"/>
      <c r="DV11" s="585"/>
      <c r="DW11" s="585"/>
      <c r="DX11" s="585"/>
      <c r="DY11" s="585"/>
      <c r="DZ11" s="585"/>
      <c r="EA11" s="585"/>
      <c r="EB11" s="585"/>
      <c r="EC11" s="585"/>
      <c r="ED11" s="585"/>
      <c r="EE11" s="585"/>
      <c r="EF11" s="585"/>
      <c r="EG11" s="585"/>
      <c r="EH11" s="585"/>
      <c r="EI11" s="585"/>
      <c r="EJ11" s="585"/>
      <c r="EK11" s="585"/>
      <c r="EL11" s="585"/>
      <c r="EM11" s="585"/>
      <c r="EN11" s="585"/>
      <c r="EO11" s="585"/>
      <c r="EP11" s="585"/>
      <c r="EQ11" s="585"/>
      <c r="ER11" s="585"/>
      <c r="ES11" s="585"/>
      <c r="ET11" s="585"/>
      <c r="EU11" s="585"/>
      <c r="EV11" s="585"/>
      <c r="EW11" s="585"/>
      <c r="EX11" s="585"/>
      <c r="EY11" s="585"/>
      <c r="EZ11" s="585"/>
      <c r="FA11" s="585"/>
      <c r="FB11" s="585"/>
      <c r="FC11" s="585"/>
      <c r="FD11" s="585"/>
      <c r="FE11" s="585"/>
      <c r="FF11" s="585"/>
      <c r="FG11" s="585"/>
      <c r="FH11" s="585"/>
      <c r="FI11" s="585"/>
      <c r="FJ11" s="585"/>
      <c r="FK11" s="585"/>
      <c r="FL11" s="585"/>
      <c r="FM11" s="585"/>
      <c r="FN11" s="585"/>
      <c r="FO11" s="585"/>
      <c r="FP11" s="585"/>
      <c r="FQ11" s="585"/>
      <c r="FR11" s="585"/>
      <c r="FS11" s="585"/>
      <c r="FT11" s="585"/>
      <c r="FU11" s="585"/>
      <c r="FV11" s="585"/>
      <c r="FW11" s="585"/>
      <c r="FX11" s="585"/>
      <c r="FY11" s="585"/>
      <c r="FZ11" s="585"/>
      <c r="GA11" s="585"/>
      <c r="GB11" s="585"/>
      <c r="GC11" s="585"/>
      <c r="GD11" s="585"/>
      <c r="GE11" s="585"/>
      <c r="GF11" s="585"/>
      <c r="GG11" s="585"/>
      <c r="GH11" s="585"/>
      <c r="GI11" s="585"/>
      <c r="GJ11" s="585"/>
      <c r="GK11" s="585"/>
      <c r="GL11" s="585"/>
      <c r="GM11" s="585"/>
      <c r="GN11" s="585"/>
      <c r="GO11" s="585"/>
      <c r="GP11" s="585"/>
      <c r="GQ11" s="585"/>
      <c r="GR11" s="585"/>
      <c r="GS11" s="585"/>
      <c r="GT11" s="585"/>
      <c r="GU11" s="585"/>
      <c r="GV11" s="585"/>
      <c r="GW11" s="585"/>
      <c r="GX11" s="585"/>
      <c r="GY11" s="585"/>
      <c r="GZ11" s="585"/>
      <c r="HA11" s="585"/>
      <c r="HB11" s="585"/>
      <c r="HC11" s="585"/>
      <c r="HD11" s="585"/>
      <c r="HE11" s="585"/>
      <c r="HF11" s="585"/>
      <c r="HG11" s="585"/>
      <c r="HH11" s="585"/>
      <c r="HI11" s="585"/>
      <c r="HJ11" s="585"/>
      <c r="HK11" s="585"/>
      <c r="HL11" s="585"/>
      <c r="HM11" s="585"/>
      <c r="HN11" s="585"/>
      <c r="HO11" s="585"/>
      <c r="HP11" s="585"/>
      <c r="HQ11" s="585"/>
      <c r="HR11" s="585"/>
      <c r="HS11" s="585"/>
      <c r="HT11" s="585"/>
      <c r="HU11" s="585"/>
      <c r="HV11" s="585"/>
      <c r="HW11" s="585"/>
      <c r="HX11" s="585"/>
      <c r="HY11" s="585"/>
      <c r="HZ11" s="585"/>
      <c r="IA11" s="585"/>
      <c r="IB11" s="585"/>
      <c r="IC11" s="585"/>
      <c r="ID11" s="585"/>
      <c r="IE11" s="585"/>
      <c r="IF11" s="585"/>
      <c r="IG11" s="585"/>
      <c r="IH11" s="585"/>
      <c r="II11" s="585"/>
      <c r="IJ11" s="585"/>
      <c r="IK11" s="585"/>
      <c r="IL11" s="585"/>
      <c r="IM11" s="585"/>
      <c r="IN11" s="585"/>
      <c r="IO11" s="585"/>
      <c r="IP11" s="585"/>
      <c r="IQ11" s="585"/>
      <c r="IR11" s="585"/>
      <c r="IS11" s="585"/>
      <c r="IT11" s="585"/>
      <c r="IU11" s="585"/>
      <c r="IV11" s="585"/>
      <c r="IW11" s="585"/>
      <c r="IX11" s="585"/>
      <c r="IY11" s="585"/>
      <c r="IZ11" s="585"/>
      <c r="JA11" s="585"/>
      <c r="JB11" s="585"/>
      <c r="JC11" s="585"/>
      <c r="JD11" s="585"/>
      <c r="JE11" s="585"/>
      <c r="JF11" s="585"/>
      <c r="JG11" s="585"/>
      <c r="JH11" s="585"/>
      <c r="JI11" s="585"/>
      <c r="JJ11" s="585"/>
      <c r="JK11" s="585"/>
      <c r="JL11" s="585"/>
      <c r="JM11" s="585"/>
      <c r="JN11" s="585"/>
      <c r="JO11" s="585"/>
      <c r="JP11" s="585"/>
      <c r="JQ11" s="585"/>
      <c r="JR11" s="585"/>
      <c r="JS11" s="585"/>
      <c r="JT11" s="585"/>
      <c r="JU11" s="585"/>
      <c r="JV11" s="585"/>
      <c r="JW11" s="585"/>
      <c r="JX11" s="585"/>
      <c r="JY11" s="585"/>
      <c r="JZ11" s="585"/>
      <c r="KA11" s="585"/>
      <c r="KB11" s="585"/>
      <c r="KC11" s="585"/>
      <c r="KD11" s="585"/>
      <c r="KE11" s="585"/>
      <c r="KF11" s="585"/>
      <c r="KG11" s="585"/>
      <c r="KH11" s="585"/>
      <c r="KI11" s="585"/>
      <c r="KJ11" s="585"/>
      <c r="KK11" s="585"/>
      <c r="KL11" s="585"/>
      <c r="KM11" s="585"/>
      <c r="KN11" s="585"/>
      <c r="KO11" s="585"/>
      <c r="KP11" s="585"/>
      <c r="KQ11" s="585"/>
      <c r="KR11" s="585"/>
      <c r="KS11" s="585"/>
      <c r="KT11" s="585"/>
      <c r="KU11" s="585"/>
      <c r="KV11" s="585"/>
      <c r="KW11" s="585"/>
      <c r="KX11" s="585"/>
      <c r="KY11" s="585"/>
      <c r="KZ11" s="585"/>
      <c r="LA11" s="585"/>
      <c r="LB11" s="585"/>
      <c r="LC11" s="585"/>
      <c r="LD11" s="585"/>
      <c r="LE11" s="585"/>
      <c r="LF11" s="585"/>
      <c r="LG11" s="585"/>
      <c r="LH11" s="585"/>
      <c r="LI11" s="585"/>
      <c r="LJ11" s="585"/>
      <c r="LK11" s="585"/>
      <c r="LL11" s="585"/>
      <c r="LM11" s="585"/>
      <c r="LN11" s="585"/>
      <c r="LO11" s="585"/>
      <c r="LP11" s="585"/>
      <c r="LQ11" s="585"/>
    </row>
    <row r="12" spans="1:329" s="32" customFormat="1" ht="18.649999999999999" customHeight="1" thickBot="1" x14ac:dyDescent="0.3">
      <c r="A12" s="664"/>
      <c r="B12" s="649"/>
      <c r="C12" s="649"/>
      <c r="D12" s="650"/>
      <c r="E12" s="650"/>
      <c r="F12" s="650"/>
      <c r="G12" s="650"/>
      <c r="H12" s="650"/>
      <c r="I12" s="665"/>
      <c r="J12" s="666"/>
      <c r="K12" s="667"/>
      <c r="L12" s="937" t="str">
        <f>IF(Art=1,"4,0 % Fett  3,4 %  Eiweiß 4,8% Laktose   -&gt;  4,8 MJ ME/kg, 45 g sidP","")</f>
        <v>4,0 % Fett  3,4 %  Eiweiß 4,8% Laktose   -&gt;  4,8 MJ ME/kg, 45 g sidP</v>
      </c>
      <c r="M12" s="937"/>
      <c r="N12" s="937"/>
      <c r="O12" s="937"/>
      <c r="P12" s="937"/>
      <c r="Q12" s="937"/>
      <c r="R12" s="937"/>
      <c r="S12" s="937"/>
      <c r="T12" s="937"/>
      <c r="U12" s="937"/>
      <c r="V12" s="937"/>
      <c r="W12" s="938"/>
      <c r="X12" s="668"/>
      <c r="Y12" s="38">
        <f>ROUND(IF(OR(F_vH=0,E_vH=0,N11=0),0,IF(M_kg=0,0,F_vH*0.385+E_vH*0.242+N11*0.165)/0.66),2)</f>
        <v>0</v>
      </c>
      <c r="Z12" s="442">
        <f>ROUND(IF(M_kg=0,0,IF(E_vH=0,0,(E_vH*10)/6.38*(95/100)*6.25/(70/100))),3)</f>
        <v>0</v>
      </c>
      <c r="AA12" s="648" t="s">
        <v>10</v>
      </c>
      <c r="AB12" s="669" t="s">
        <v>71</v>
      </c>
      <c r="AC12" s="670"/>
      <c r="AD12" s="669"/>
      <c r="AE12" s="670"/>
      <c r="AF12" s="671"/>
      <c r="AG12" s="648"/>
      <c r="AH12" s="648"/>
      <c r="AI12" s="29"/>
      <c r="AJ12" s="31"/>
      <c r="AK12" s="31"/>
      <c r="AL12" s="648"/>
      <c r="AM12" s="672"/>
      <c r="AN12" s="585"/>
      <c r="AO12" s="585"/>
      <c r="AP12" s="585"/>
      <c r="AQ12" s="585"/>
      <c r="AR12" s="585"/>
      <c r="AS12" s="585"/>
      <c r="AT12" s="585"/>
      <c r="AU12" s="585"/>
      <c r="AV12" s="585"/>
      <c r="AW12" s="585"/>
      <c r="AX12" s="585"/>
      <c r="AY12" s="585"/>
      <c r="AZ12" s="585"/>
      <c r="BA12" s="585"/>
      <c r="BB12" s="585"/>
      <c r="BC12" s="585"/>
      <c r="BD12" s="585"/>
      <c r="BE12" s="585"/>
      <c r="BF12" s="585"/>
      <c r="BG12" s="585"/>
      <c r="BH12" s="585"/>
      <c r="BI12" s="585"/>
      <c r="BJ12" s="585"/>
      <c r="BK12" s="585"/>
      <c r="BL12" s="585"/>
      <c r="BM12" s="585"/>
      <c r="BN12" s="585"/>
      <c r="BO12" s="585"/>
      <c r="BP12" s="585"/>
      <c r="BQ12" s="585"/>
      <c r="BR12" s="585"/>
      <c r="BS12" s="585"/>
      <c r="BT12" s="585"/>
      <c r="BU12" s="585"/>
      <c r="BV12" s="585"/>
      <c r="BW12" s="585"/>
      <c r="BX12" s="585"/>
      <c r="BY12" s="585"/>
      <c r="BZ12" s="585"/>
      <c r="CA12" s="585"/>
      <c r="CB12" s="585"/>
      <c r="CC12" s="585"/>
      <c r="CD12" s="585"/>
      <c r="CE12" s="585"/>
      <c r="CF12" s="585"/>
      <c r="CG12" s="585"/>
      <c r="CH12" s="585"/>
      <c r="CI12" s="585"/>
      <c r="CJ12" s="585"/>
      <c r="CK12" s="585"/>
      <c r="CL12" s="585"/>
      <c r="CM12" s="585"/>
      <c r="CN12" s="585"/>
      <c r="CO12" s="585"/>
      <c r="CP12" s="585"/>
      <c r="CQ12" s="585"/>
      <c r="CR12" s="585"/>
      <c r="CS12" s="585"/>
      <c r="CT12" s="585"/>
      <c r="CU12" s="585"/>
      <c r="CV12" s="585"/>
      <c r="CW12" s="585"/>
      <c r="CX12" s="585"/>
      <c r="CY12" s="585"/>
      <c r="CZ12" s="585"/>
      <c r="DA12" s="585"/>
      <c r="DB12" s="585"/>
      <c r="DC12" s="585"/>
      <c r="DD12" s="585"/>
      <c r="DE12" s="585"/>
      <c r="DF12" s="585"/>
      <c r="DG12" s="585"/>
      <c r="DH12" s="585"/>
      <c r="DI12" s="585"/>
      <c r="DJ12" s="585"/>
      <c r="DK12" s="585"/>
      <c r="DL12" s="585"/>
      <c r="DM12" s="585"/>
      <c r="DN12" s="585"/>
      <c r="DO12" s="585"/>
      <c r="DP12" s="585"/>
      <c r="DQ12" s="585"/>
      <c r="DR12" s="585"/>
      <c r="DS12" s="585"/>
      <c r="DT12" s="585"/>
      <c r="DU12" s="585"/>
      <c r="DV12" s="585"/>
      <c r="DW12" s="585"/>
      <c r="DX12" s="585"/>
      <c r="DY12" s="585"/>
      <c r="DZ12" s="585"/>
      <c r="EA12" s="585"/>
      <c r="EB12" s="585"/>
      <c r="EC12" s="585"/>
      <c r="ED12" s="585"/>
      <c r="EE12" s="585"/>
      <c r="EF12" s="585"/>
      <c r="EG12" s="585"/>
      <c r="EH12" s="585"/>
      <c r="EI12" s="585"/>
      <c r="EJ12" s="585"/>
      <c r="EK12" s="585"/>
      <c r="EL12" s="585"/>
      <c r="EM12" s="585"/>
      <c r="EN12" s="585"/>
      <c r="EO12" s="585"/>
      <c r="EP12" s="585"/>
      <c r="EQ12" s="585"/>
      <c r="ER12" s="585"/>
      <c r="ES12" s="585"/>
      <c r="ET12" s="585"/>
      <c r="EU12" s="585"/>
      <c r="EV12" s="585"/>
      <c r="EW12" s="585"/>
      <c r="EX12" s="585"/>
      <c r="EY12" s="585"/>
      <c r="EZ12" s="585"/>
      <c r="FA12" s="585"/>
      <c r="FB12" s="585"/>
      <c r="FC12" s="585"/>
      <c r="FD12" s="585"/>
      <c r="FE12" s="585"/>
      <c r="FF12" s="585"/>
      <c r="FG12" s="585"/>
      <c r="FH12" s="585"/>
      <c r="FI12" s="585"/>
      <c r="FJ12" s="585"/>
      <c r="FK12" s="585"/>
      <c r="FL12" s="585"/>
      <c r="FM12" s="585"/>
      <c r="FN12" s="585"/>
      <c r="FO12" s="585"/>
      <c r="FP12" s="585"/>
      <c r="FQ12" s="585"/>
      <c r="FR12" s="585"/>
      <c r="FS12" s="585"/>
      <c r="FT12" s="585"/>
      <c r="FU12" s="585"/>
      <c r="FV12" s="585"/>
      <c r="FW12" s="585"/>
      <c r="FX12" s="585"/>
      <c r="FY12" s="585"/>
      <c r="FZ12" s="585"/>
      <c r="GA12" s="585"/>
      <c r="GB12" s="585"/>
      <c r="GC12" s="585"/>
      <c r="GD12" s="585"/>
      <c r="GE12" s="585"/>
      <c r="GF12" s="585"/>
      <c r="GG12" s="585"/>
      <c r="GH12" s="585"/>
      <c r="GI12" s="585"/>
      <c r="GJ12" s="585"/>
      <c r="GK12" s="585"/>
      <c r="GL12" s="585"/>
      <c r="GM12" s="585"/>
      <c r="GN12" s="585"/>
      <c r="GO12" s="585"/>
      <c r="GP12" s="585"/>
      <c r="GQ12" s="585"/>
      <c r="GR12" s="585"/>
      <c r="GS12" s="585"/>
      <c r="GT12" s="585"/>
      <c r="GU12" s="585"/>
      <c r="GV12" s="585"/>
      <c r="GW12" s="585"/>
      <c r="GX12" s="585"/>
      <c r="GY12" s="585"/>
      <c r="GZ12" s="585"/>
      <c r="HA12" s="585"/>
      <c r="HB12" s="585"/>
      <c r="HC12" s="585"/>
      <c r="HD12" s="585"/>
      <c r="HE12" s="585"/>
      <c r="HF12" s="585"/>
      <c r="HG12" s="585"/>
      <c r="HH12" s="585"/>
      <c r="HI12" s="585"/>
      <c r="HJ12" s="585"/>
      <c r="HK12" s="585"/>
      <c r="HL12" s="585"/>
      <c r="HM12" s="585"/>
      <c r="HN12" s="585"/>
      <c r="HO12" s="585"/>
      <c r="HP12" s="585"/>
      <c r="HQ12" s="585"/>
      <c r="HR12" s="585"/>
      <c r="HS12" s="585"/>
      <c r="HT12" s="585"/>
      <c r="HU12" s="585"/>
      <c r="HV12" s="585"/>
      <c r="HW12" s="585"/>
      <c r="HX12" s="585"/>
      <c r="HY12" s="585"/>
      <c r="HZ12" s="585"/>
      <c r="IA12" s="585"/>
      <c r="IB12" s="585"/>
      <c r="IC12" s="585"/>
      <c r="ID12" s="585"/>
      <c r="IE12" s="585"/>
      <c r="IF12" s="585"/>
      <c r="IG12" s="585"/>
      <c r="IH12" s="585"/>
      <c r="II12" s="585"/>
      <c r="IJ12" s="585"/>
      <c r="IK12" s="585"/>
      <c r="IL12" s="585"/>
      <c r="IM12" s="585"/>
      <c r="IN12" s="585"/>
      <c r="IO12" s="585"/>
      <c r="IP12" s="585"/>
      <c r="IQ12" s="585"/>
      <c r="IR12" s="585"/>
      <c r="IS12" s="585"/>
      <c r="IT12" s="585"/>
      <c r="IU12" s="585"/>
      <c r="IV12" s="585"/>
      <c r="IW12" s="585"/>
      <c r="IX12" s="585"/>
      <c r="IY12" s="585"/>
      <c r="IZ12" s="585"/>
      <c r="JA12" s="585"/>
      <c r="JB12" s="585"/>
      <c r="JC12" s="585"/>
      <c r="JD12" s="585"/>
      <c r="JE12" s="585"/>
      <c r="JF12" s="585"/>
      <c r="JG12" s="585"/>
      <c r="JH12" s="585"/>
      <c r="JI12" s="585"/>
      <c r="JJ12" s="585"/>
      <c r="JK12" s="585"/>
      <c r="JL12" s="585"/>
      <c r="JM12" s="585"/>
      <c r="JN12" s="585"/>
      <c r="JO12" s="585"/>
      <c r="JP12" s="585"/>
      <c r="JQ12" s="585"/>
      <c r="JR12" s="585"/>
      <c r="JS12" s="585"/>
      <c r="JT12" s="585"/>
      <c r="JU12" s="585"/>
      <c r="JV12" s="585"/>
      <c r="JW12" s="585"/>
      <c r="JX12" s="585"/>
      <c r="JY12" s="585"/>
      <c r="JZ12" s="585"/>
      <c r="KA12" s="585"/>
      <c r="KB12" s="585"/>
      <c r="KC12" s="585"/>
      <c r="KD12" s="585"/>
      <c r="KE12" s="585"/>
      <c r="KF12" s="585"/>
      <c r="KG12" s="585"/>
      <c r="KH12" s="585"/>
      <c r="KI12" s="585"/>
      <c r="KJ12" s="585"/>
      <c r="KK12" s="585"/>
      <c r="KL12" s="585"/>
      <c r="KM12" s="585"/>
      <c r="KN12" s="585"/>
      <c r="KO12" s="585"/>
      <c r="KP12" s="585"/>
      <c r="KQ12" s="585"/>
      <c r="KR12" s="585"/>
      <c r="KS12" s="585"/>
      <c r="KT12" s="585"/>
      <c r="KU12" s="585"/>
      <c r="KV12" s="585"/>
      <c r="KW12" s="585"/>
      <c r="KX12" s="585"/>
      <c r="KY12" s="585"/>
      <c r="KZ12" s="585"/>
      <c r="LA12" s="585"/>
      <c r="LB12" s="585"/>
      <c r="LC12" s="585"/>
      <c r="LD12" s="585"/>
      <c r="LE12" s="585"/>
      <c r="LF12" s="585"/>
      <c r="LG12" s="585"/>
      <c r="LH12" s="585"/>
      <c r="LI12" s="585"/>
      <c r="LJ12" s="585"/>
      <c r="LK12" s="585"/>
      <c r="LL12" s="585"/>
      <c r="LM12" s="585"/>
      <c r="LN12" s="585"/>
      <c r="LO12" s="585"/>
      <c r="LP12" s="585"/>
      <c r="LQ12" s="585"/>
    </row>
    <row r="13" spans="1:329" s="32" customFormat="1" ht="18.75" customHeight="1" x14ac:dyDescent="0.25">
      <c r="A13" s="307"/>
      <c r="B13" s="649"/>
      <c r="C13" s="649" t="s">
        <v>11</v>
      </c>
      <c r="D13" s="650"/>
      <c r="E13" s="650"/>
      <c r="F13" s="650"/>
      <c r="G13" s="650"/>
      <c r="H13" s="650"/>
      <c r="I13" s="673"/>
      <c r="J13" s="27"/>
      <c r="K13" s="648"/>
      <c r="L13" s="667"/>
      <c r="M13" s="667"/>
      <c r="N13" s="674"/>
      <c r="O13" s="674"/>
      <c r="P13" s="674"/>
      <c r="Q13" s="674"/>
      <c r="R13" s="674"/>
      <c r="S13" s="674"/>
      <c r="T13" s="674"/>
      <c r="U13" s="674"/>
      <c r="V13" s="315"/>
      <c r="W13" s="315"/>
      <c r="X13" s="315"/>
      <c r="Y13" s="425">
        <f>ROUND(IF(M_kg="0",0,M_kg*Y12),1)</f>
        <v>0</v>
      </c>
      <c r="Z13" s="39">
        <f>ROUND(IF(Art=1,IF(M_kg="t",675,M_kg*Z12),IF(Art=2,IF(M_kg="t",7,M_kg*Z12),IF(Art=3,IF(M_kg="t",3.8,M_kg*Z12),""))),3)</f>
        <v>0</v>
      </c>
      <c r="AA13" s="675" t="s">
        <v>218</v>
      </c>
      <c r="AB13" s="669" t="s">
        <v>72</v>
      </c>
      <c r="AC13" s="670"/>
      <c r="AD13" s="669"/>
      <c r="AE13" s="670"/>
      <c r="AF13" s="671"/>
      <c r="AG13" s="27"/>
      <c r="AH13" s="27"/>
      <c r="AI13" s="27"/>
      <c r="AJ13" s="31"/>
      <c r="AK13" s="31"/>
      <c r="AL13" s="27"/>
      <c r="AM13" s="383"/>
      <c r="AN13" s="585"/>
      <c r="AO13" s="585"/>
      <c r="AP13" s="585"/>
      <c r="AQ13" s="585"/>
      <c r="AR13" s="585"/>
      <c r="AS13" s="585"/>
      <c r="AT13" s="585"/>
      <c r="AU13" s="585"/>
      <c r="AV13" s="585"/>
      <c r="AW13" s="585"/>
      <c r="AX13" s="585"/>
      <c r="AY13" s="585"/>
      <c r="AZ13" s="585"/>
      <c r="BA13" s="585"/>
      <c r="BB13" s="585"/>
      <c r="BC13" s="585"/>
      <c r="BD13" s="585"/>
      <c r="BE13" s="585"/>
      <c r="BF13" s="585"/>
      <c r="BG13" s="585"/>
      <c r="BH13" s="585"/>
      <c r="BI13" s="585"/>
      <c r="BJ13" s="585"/>
      <c r="BK13" s="585"/>
      <c r="BL13" s="585"/>
      <c r="BM13" s="585"/>
      <c r="BN13" s="585"/>
      <c r="BO13" s="585"/>
      <c r="BP13" s="585"/>
      <c r="BQ13" s="585"/>
      <c r="BR13" s="585"/>
      <c r="BS13" s="585"/>
      <c r="BT13" s="585"/>
      <c r="BU13" s="585"/>
      <c r="BV13" s="585"/>
      <c r="BW13" s="585"/>
      <c r="BX13" s="585"/>
      <c r="BY13" s="585"/>
      <c r="BZ13" s="585"/>
      <c r="CA13" s="585"/>
      <c r="CB13" s="585"/>
      <c r="CC13" s="585"/>
      <c r="CD13" s="585"/>
      <c r="CE13" s="585"/>
      <c r="CF13" s="585"/>
      <c r="CG13" s="585"/>
      <c r="CH13" s="585"/>
      <c r="CI13" s="585"/>
      <c r="CJ13" s="585"/>
      <c r="CK13" s="585"/>
      <c r="CL13" s="585"/>
      <c r="CM13" s="585"/>
      <c r="CN13" s="585"/>
      <c r="CO13" s="585"/>
      <c r="CP13" s="585"/>
      <c r="CQ13" s="585"/>
      <c r="CR13" s="585"/>
      <c r="CS13" s="585"/>
      <c r="CT13" s="585"/>
      <c r="CU13" s="585"/>
      <c r="CV13" s="585"/>
      <c r="CW13" s="585"/>
      <c r="CX13" s="585"/>
      <c r="CY13" s="585"/>
      <c r="CZ13" s="585"/>
      <c r="DA13" s="585"/>
      <c r="DB13" s="585"/>
      <c r="DC13" s="585"/>
      <c r="DD13" s="585"/>
      <c r="DE13" s="585"/>
      <c r="DF13" s="585"/>
      <c r="DG13" s="585"/>
      <c r="DH13" s="585"/>
      <c r="DI13" s="585"/>
      <c r="DJ13" s="585"/>
      <c r="DK13" s="585"/>
      <c r="DL13" s="585"/>
      <c r="DM13" s="585"/>
      <c r="DN13" s="585"/>
      <c r="DO13" s="585"/>
      <c r="DP13" s="585"/>
      <c r="DQ13" s="585"/>
      <c r="DR13" s="585"/>
      <c r="DS13" s="585"/>
      <c r="DT13" s="585"/>
      <c r="DU13" s="585"/>
      <c r="DV13" s="585"/>
      <c r="DW13" s="585"/>
      <c r="DX13" s="585"/>
      <c r="DY13" s="585"/>
      <c r="DZ13" s="585"/>
      <c r="EA13" s="585"/>
      <c r="EB13" s="585"/>
      <c r="EC13" s="585"/>
      <c r="ED13" s="585"/>
      <c r="EE13" s="585"/>
      <c r="EF13" s="585"/>
      <c r="EG13" s="585"/>
      <c r="EH13" s="585"/>
      <c r="EI13" s="585"/>
      <c r="EJ13" s="585"/>
      <c r="EK13" s="585"/>
      <c r="EL13" s="585"/>
      <c r="EM13" s="585"/>
      <c r="EN13" s="585"/>
      <c r="EO13" s="585"/>
      <c r="EP13" s="585"/>
      <c r="EQ13" s="585"/>
      <c r="ER13" s="585"/>
      <c r="ES13" s="585"/>
      <c r="ET13" s="585"/>
      <c r="EU13" s="585"/>
      <c r="EV13" s="585"/>
      <c r="EW13" s="585"/>
      <c r="EX13" s="585"/>
      <c r="EY13" s="585"/>
      <c r="EZ13" s="585"/>
      <c r="FA13" s="585"/>
      <c r="FB13" s="585"/>
      <c r="FC13" s="585"/>
      <c r="FD13" s="585"/>
      <c r="FE13" s="585"/>
      <c r="FF13" s="585"/>
      <c r="FG13" s="585"/>
      <c r="FH13" s="585"/>
      <c r="FI13" s="585"/>
      <c r="FJ13" s="585"/>
      <c r="FK13" s="585"/>
      <c r="FL13" s="585"/>
      <c r="FM13" s="585"/>
      <c r="FN13" s="585"/>
      <c r="FO13" s="585"/>
      <c r="FP13" s="585"/>
      <c r="FQ13" s="585"/>
      <c r="FR13" s="585"/>
      <c r="FS13" s="585"/>
      <c r="FT13" s="585"/>
      <c r="FU13" s="585"/>
      <c r="FV13" s="585"/>
      <c r="FW13" s="585"/>
      <c r="FX13" s="585"/>
      <c r="FY13" s="585"/>
      <c r="FZ13" s="585"/>
      <c r="GA13" s="585"/>
      <c r="GB13" s="585"/>
      <c r="GC13" s="585"/>
      <c r="GD13" s="585"/>
      <c r="GE13" s="585"/>
      <c r="GF13" s="585"/>
      <c r="GG13" s="585"/>
      <c r="GH13" s="585"/>
      <c r="GI13" s="585"/>
      <c r="GJ13" s="585"/>
      <c r="GK13" s="585"/>
      <c r="GL13" s="585"/>
      <c r="GM13" s="585"/>
      <c r="GN13" s="585"/>
      <c r="GO13" s="585"/>
      <c r="GP13" s="585"/>
      <c r="GQ13" s="585"/>
      <c r="GR13" s="585"/>
      <c r="GS13" s="585"/>
      <c r="GT13" s="585"/>
      <c r="GU13" s="585"/>
      <c r="GV13" s="585"/>
      <c r="GW13" s="585"/>
      <c r="GX13" s="585"/>
      <c r="GY13" s="585"/>
      <c r="GZ13" s="585"/>
      <c r="HA13" s="585"/>
      <c r="HB13" s="585"/>
      <c r="HC13" s="585"/>
      <c r="HD13" s="585"/>
      <c r="HE13" s="585"/>
      <c r="HF13" s="585"/>
      <c r="HG13" s="585"/>
      <c r="HH13" s="585"/>
      <c r="HI13" s="585"/>
      <c r="HJ13" s="585"/>
      <c r="HK13" s="585"/>
      <c r="HL13" s="585"/>
      <c r="HM13" s="585"/>
      <c r="HN13" s="585"/>
      <c r="HO13" s="585"/>
      <c r="HP13" s="585"/>
      <c r="HQ13" s="585"/>
      <c r="HR13" s="585"/>
      <c r="HS13" s="585"/>
      <c r="HT13" s="585"/>
      <c r="HU13" s="585"/>
      <c r="HV13" s="585"/>
      <c r="HW13" s="585"/>
      <c r="HX13" s="585"/>
      <c r="HY13" s="585"/>
      <c r="HZ13" s="585"/>
      <c r="IA13" s="585"/>
      <c r="IB13" s="585"/>
      <c r="IC13" s="585"/>
      <c r="ID13" s="585"/>
      <c r="IE13" s="585"/>
      <c r="IF13" s="585"/>
      <c r="IG13" s="585"/>
      <c r="IH13" s="585"/>
      <c r="II13" s="585"/>
      <c r="IJ13" s="585"/>
      <c r="IK13" s="585"/>
      <c r="IL13" s="585"/>
      <c r="IM13" s="585"/>
      <c r="IN13" s="585"/>
      <c r="IO13" s="585"/>
      <c r="IP13" s="585"/>
      <c r="IQ13" s="585"/>
      <c r="IR13" s="585"/>
      <c r="IS13" s="585"/>
      <c r="IT13" s="585"/>
      <c r="IU13" s="585"/>
      <c r="IV13" s="585"/>
      <c r="IW13" s="585"/>
      <c r="IX13" s="585"/>
      <c r="IY13" s="585"/>
      <c r="IZ13" s="585"/>
      <c r="JA13" s="585"/>
      <c r="JB13" s="585"/>
      <c r="JC13" s="585"/>
      <c r="JD13" s="585"/>
      <c r="JE13" s="585"/>
      <c r="JF13" s="585"/>
      <c r="JG13" s="585"/>
      <c r="JH13" s="585"/>
      <c r="JI13" s="585"/>
      <c r="JJ13" s="585"/>
      <c r="JK13" s="585"/>
      <c r="JL13" s="585"/>
      <c r="JM13" s="585"/>
      <c r="JN13" s="585"/>
      <c r="JO13" s="585"/>
      <c r="JP13" s="585"/>
      <c r="JQ13" s="585"/>
      <c r="JR13" s="585"/>
      <c r="JS13" s="585"/>
      <c r="JT13" s="585"/>
      <c r="JU13" s="585"/>
      <c r="JV13" s="585"/>
      <c r="JW13" s="585"/>
      <c r="JX13" s="585"/>
      <c r="JY13" s="585"/>
      <c r="JZ13" s="585"/>
      <c r="KA13" s="585"/>
      <c r="KB13" s="585"/>
      <c r="KC13" s="585"/>
      <c r="KD13" s="585"/>
      <c r="KE13" s="585"/>
      <c r="KF13" s="585"/>
      <c r="KG13" s="585"/>
      <c r="KH13" s="585"/>
      <c r="KI13" s="585"/>
      <c r="KJ13" s="585"/>
      <c r="KK13" s="585"/>
      <c r="KL13" s="585"/>
      <c r="KM13" s="585"/>
      <c r="KN13" s="585"/>
      <c r="KO13" s="585"/>
      <c r="KP13" s="585"/>
      <c r="KQ13" s="585"/>
      <c r="KR13" s="585"/>
      <c r="KS13" s="585"/>
      <c r="KT13" s="585"/>
      <c r="KU13" s="585"/>
      <c r="KV13" s="585"/>
      <c r="KW13" s="585"/>
      <c r="KX13" s="585"/>
      <c r="KY13" s="585"/>
      <c r="KZ13" s="585"/>
      <c r="LA13" s="585"/>
      <c r="LB13" s="585"/>
      <c r="LC13" s="585"/>
      <c r="LD13" s="585"/>
      <c r="LE13" s="585"/>
      <c r="LF13" s="585"/>
      <c r="LG13" s="585"/>
      <c r="LH13" s="585"/>
      <c r="LI13" s="585"/>
      <c r="LJ13" s="585"/>
      <c r="LK13" s="585"/>
      <c r="LL13" s="585"/>
      <c r="LM13" s="585"/>
      <c r="LN13" s="585"/>
      <c r="LO13" s="585"/>
      <c r="LP13" s="585"/>
      <c r="LQ13" s="585"/>
    </row>
    <row r="14" spans="1:329" s="32" customFormat="1" ht="18.75" customHeight="1" thickBot="1" x14ac:dyDescent="0.3">
      <c r="A14" s="307"/>
      <c r="B14" s="649"/>
      <c r="C14" s="649" t="s">
        <v>12</v>
      </c>
      <c r="D14" s="649"/>
      <c r="E14" s="649"/>
      <c r="F14" s="649"/>
      <c r="G14" s="649"/>
      <c r="H14" s="649"/>
      <c r="I14" s="673"/>
      <c r="J14" s="27"/>
      <c r="K14" s="676"/>
      <c r="L14" s="676"/>
      <c r="M14" s="676"/>
      <c r="N14" s="676"/>
      <c r="O14" s="676"/>
      <c r="P14" s="676"/>
      <c r="Q14" s="676"/>
      <c r="R14" s="676"/>
      <c r="S14" s="676"/>
      <c r="T14" s="676"/>
      <c r="U14" s="676"/>
      <c r="V14" s="676"/>
      <c r="W14" s="677"/>
      <c r="X14" s="678"/>
      <c r="Y14" s="40">
        <f>ROUND(IF(LG=0,0,LG^0.75*0.64),1)</f>
        <v>0</v>
      </c>
      <c r="Z14" s="433">
        <f>ROUND(IF(LG=0,0,(3*W15*6.25*(72/100)/(70/100))+(0.05*LG*6.25*(78/100))+(0.02*(LG^0.75)*6.25/(70/100))),3)</f>
        <v>0</v>
      </c>
      <c r="AA14" s="27" t="s">
        <v>132</v>
      </c>
      <c r="AB14" s="669"/>
      <c r="AC14" s="670"/>
      <c r="AD14" s="669"/>
      <c r="AE14" s="670"/>
      <c r="AF14" s="671"/>
      <c r="AG14" s="27"/>
      <c r="AH14" s="27"/>
      <c r="AI14" s="29"/>
      <c r="AJ14" s="31"/>
      <c r="AK14" s="27"/>
      <c r="AL14" s="27"/>
      <c r="AM14" s="679"/>
      <c r="AN14" s="585"/>
      <c r="AO14" s="585"/>
      <c r="AP14" s="585"/>
      <c r="AQ14" s="585"/>
      <c r="AR14" s="585"/>
      <c r="AS14" s="585"/>
      <c r="AT14" s="585"/>
      <c r="AU14" s="585"/>
      <c r="AV14" s="585"/>
      <c r="AW14" s="585"/>
      <c r="AX14" s="585"/>
      <c r="AY14" s="585"/>
      <c r="AZ14" s="585"/>
      <c r="BA14" s="585"/>
      <c r="BB14" s="585"/>
      <c r="BC14" s="585"/>
      <c r="BD14" s="585"/>
      <c r="BE14" s="585"/>
      <c r="BF14" s="585"/>
      <c r="BG14" s="585"/>
      <c r="BH14" s="585"/>
      <c r="BI14" s="585"/>
      <c r="BJ14" s="585"/>
      <c r="BK14" s="585"/>
      <c r="BL14" s="585"/>
      <c r="BM14" s="585"/>
      <c r="BN14" s="585"/>
      <c r="BO14" s="585"/>
      <c r="BP14" s="585"/>
      <c r="BQ14" s="585"/>
      <c r="BR14" s="585"/>
      <c r="BS14" s="585"/>
      <c r="BT14" s="585"/>
      <c r="BU14" s="585"/>
      <c r="BV14" s="585"/>
      <c r="BW14" s="585"/>
      <c r="BX14" s="585"/>
      <c r="BY14" s="585"/>
      <c r="BZ14" s="585"/>
      <c r="CA14" s="585"/>
      <c r="CB14" s="585"/>
      <c r="CC14" s="585"/>
      <c r="CD14" s="585"/>
      <c r="CE14" s="585"/>
      <c r="CF14" s="585"/>
      <c r="CG14" s="585"/>
      <c r="CH14" s="585"/>
      <c r="CI14" s="585"/>
      <c r="CJ14" s="585"/>
      <c r="CK14" s="585"/>
      <c r="CL14" s="585"/>
      <c r="CM14" s="585"/>
      <c r="CN14" s="585"/>
      <c r="CO14" s="585"/>
      <c r="CP14" s="585"/>
      <c r="CQ14" s="585"/>
      <c r="CR14" s="585"/>
      <c r="CS14" s="585"/>
      <c r="CT14" s="585"/>
      <c r="CU14" s="585"/>
      <c r="CV14" s="585"/>
      <c r="CW14" s="585"/>
      <c r="CX14" s="585"/>
      <c r="CY14" s="585"/>
      <c r="CZ14" s="585"/>
      <c r="DA14" s="585"/>
      <c r="DB14" s="585"/>
      <c r="DC14" s="585"/>
      <c r="DD14" s="585"/>
      <c r="DE14" s="585"/>
      <c r="DF14" s="585"/>
      <c r="DG14" s="585"/>
      <c r="DH14" s="585"/>
      <c r="DI14" s="585"/>
      <c r="DJ14" s="585"/>
      <c r="DK14" s="585"/>
      <c r="DL14" s="585"/>
      <c r="DM14" s="585"/>
      <c r="DN14" s="585"/>
      <c r="DO14" s="585"/>
      <c r="DP14" s="585"/>
      <c r="DQ14" s="585"/>
      <c r="DR14" s="585"/>
      <c r="DS14" s="585"/>
      <c r="DT14" s="585"/>
      <c r="DU14" s="585"/>
      <c r="DV14" s="585"/>
      <c r="DW14" s="585"/>
      <c r="DX14" s="585"/>
      <c r="DY14" s="585"/>
      <c r="DZ14" s="585"/>
      <c r="EA14" s="585"/>
      <c r="EB14" s="585"/>
      <c r="EC14" s="585"/>
      <c r="ED14" s="585"/>
      <c r="EE14" s="585"/>
      <c r="EF14" s="585"/>
      <c r="EG14" s="585"/>
      <c r="EH14" s="585"/>
      <c r="EI14" s="585"/>
      <c r="EJ14" s="585"/>
      <c r="EK14" s="585"/>
      <c r="EL14" s="585"/>
      <c r="EM14" s="585"/>
      <c r="EN14" s="585"/>
      <c r="EO14" s="585"/>
      <c r="EP14" s="585"/>
      <c r="EQ14" s="585"/>
      <c r="ER14" s="585"/>
      <c r="ES14" s="585"/>
      <c r="ET14" s="585"/>
      <c r="EU14" s="585"/>
      <c r="EV14" s="585"/>
      <c r="EW14" s="585"/>
      <c r="EX14" s="585"/>
      <c r="EY14" s="585"/>
      <c r="EZ14" s="585"/>
      <c r="FA14" s="585"/>
      <c r="FB14" s="585"/>
      <c r="FC14" s="585"/>
      <c r="FD14" s="585"/>
      <c r="FE14" s="585"/>
      <c r="FF14" s="585"/>
      <c r="FG14" s="585"/>
      <c r="FH14" s="585"/>
      <c r="FI14" s="585"/>
      <c r="FJ14" s="585"/>
      <c r="FK14" s="585"/>
      <c r="FL14" s="585"/>
      <c r="FM14" s="585"/>
      <c r="FN14" s="585"/>
      <c r="FO14" s="585"/>
      <c r="FP14" s="585"/>
      <c r="FQ14" s="585"/>
      <c r="FR14" s="585"/>
      <c r="FS14" s="585"/>
      <c r="FT14" s="585"/>
      <c r="FU14" s="585"/>
      <c r="FV14" s="585"/>
      <c r="FW14" s="585"/>
      <c r="FX14" s="585"/>
      <c r="FY14" s="585"/>
      <c r="FZ14" s="585"/>
      <c r="GA14" s="585"/>
      <c r="GB14" s="585"/>
      <c r="GC14" s="585"/>
      <c r="GD14" s="585"/>
      <c r="GE14" s="585"/>
      <c r="GF14" s="585"/>
      <c r="GG14" s="585"/>
      <c r="GH14" s="585"/>
      <c r="GI14" s="585"/>
      <c r="GJ14" s="585"/>
      <c r="GK14" s="585"/>
      <c r="GL14" s="585"/>
      <c r="GM14" s="585"/>
      <c r="GN14" s="585"/>
      <c r="GO14" s="585"/>
      <c r="GP14" s="585"/>
      <c r="GQ14" s="585"/>
      <c r="GR14" s="585"/>
      <c r="GS14" s="585"/>
      <c r="GT14" s="585"/>
      <c r="GU14" s="585"/>
      <c r="GV14" s="585"/>
      <c r="GW14" s="585"/>
      <c r="GX14" s="585"/>
      <c r="GY14" s="585"/>
      <c r="GZ14" s="585"/>
      <c r="HA14" s="585"/>
      <c r="HB14" s="585"/>
      <c r="HC14" s="585"/>
      <c r="HD14" s="585"/>
      <c r="HE14" s="585"/>
      <c r="HF14" s="585"/>
      <c r="HG14" s="585"/>
      <c r="HH14" s="585"/>
      <c r="HI14" s="585"/>
      <c r="HJ14" s="585"/>
      <c r="HK14" s="585"/>
      <c r="HL14" s="585"/>
      <c r="HM14" s="585"/>
      <c r="HN14" s="585"/>
      <c r="HO14" s="585"/>
      <c r="HP14" s="585"/>
      <c r="HQ14" s="585"/>
      <c r="HR14" s="585"/>
      <c r="HS14" s="585"/>
      <c r="HT14" s="585"/>
      <c r="HU14" s="585"/>
      <c r="HV14" s="585"/>
      <c r="HW14" s="585"/>
      <c r="HX14" s="585"/>
      <c r="HY14" s="585"/>
      <c r="HZ14" s="585"/>
      <c r="IA14" s="585"/>
      <c r="IB14" s="585"/>
      <c r="IC14" s="585"/>
      <c r="ID14" s="585"/>
      <c r="IE14" s="585"/>
      <c r="IF14" s="585"/>
      <c r="IG14" s="585"/>
      <c r="IH14" s="585"/>
      <c r="II14" s="585"/>
      <c r="IJ14" s="585"/>
      <c r="IK14" s="585"/>
      <c r="IL14" s="585"/>
      <c r="IM14" s="585"/>
      <c r="IN14" s="585"/>
      <c r="IO14" s="585"/>
      <c r="IP14" s="585"/>
      <c r="IQ14" s="585"/>
      <c r="IR14" s="585"/>
      <c r="IS14" s="585"/>
      <c r="IT14" s="585"/>
      <c r="IU14" s="585"/>
      <c r="IV14" s="585"/>
      <c r="IW14" s="585"/>
      <c r="IX14" s="585"/>
      <c r="IY14" s="585"/>
      <c r="IZ14" s="585"/>
      <c r="JA14" s="585"/>
      <c r="JB14" s="585"/>
      <c r="JC14" s="585"/>
      <c r="JD14" s="585"/>
      <c r="JE14" s="585"/>
      <c r="JF14" s="585"/>
      <c r="JG14" s="585"/>
      <c r="JH14" s="585"/>
      <c r="JI14" s="585"/>
      <c r="JJ14" s="585"/>
      <c r="JK14" s="585"/>
      <c r="JL14" s="585"/>
      <c r="JM14" s="585"/>
      <c r="JN14" s="585"/>
      <c r="JO14" s="585"/>
      <c r="JP14" s="585"/>
      <c r="JQ14" s="585"/>
      <c r="JR14" s="585"/>
      <c r="JS14" s="585"/>
      <c r="JT14" s="585"/>
      <c r="JU14" s="585"/>
      <c r="JV14" s="585"/>
      <c r="JW14" s="585"/>
      <c r="JX14" s="585"/>
      <c r="JY14" s="585"/>
      <c r="JZ14" s="585"/>
      <c r="KA14" s="585"/>
      <c r="KB14" s="585"/>
      <c r="KC14" s="585"/>
      <c r="KD14" s="585"/>
      <c r="KE14" s="585"/>
      <c r="KF14" s="585"/>
      <c r="KG14" s="585"/>
      <c r="KH14" s="585"/>
      <c r="KI14" s="585"/>
      <c r="KJ14" s="585"/>
      <c r="KK14" s="585"/>
      <c r="KL14" s="585"/>
      <c r="KM14" s="585"/>
      <c r="KN14" s="585"/>
      <c r="KO14" s="585"/>
      <c r="KP14" s="585"/>
      <c r="KQ14" s="585"/>
      <c r="KR14" s="585"/>
      <c r="KS14" s="585"/>
      <c r="KT14" s="585"/>
      <c r="KU14" s="585"/>
      <c r="KV14" s="585"/>
      <c r="KW14" s="585"/>
      <c r="KX14" s="585"/>
      <c r="KY14" s="585"/>
      <c r="KZ14" s="585"/>
      <c r="LA14" s="585"/>
      <c r="LB14" s="585"/>
      <c r="LC14" s="585"/>
      <c r="LD14" s="585"/>
      <c r="LE14" s="585"/>
      <c r="LF14" s="585"/>
      <c r="LG14" s="585"/>
      <c r="LH14" s="585"/>
      <c r="LI14" s="585"/>
      <c r="LJ14" s="585"/>
      <c r="LK14" s="585"/>
      <c r="LL14" s="585"/>
      <c r="LM14" s="585"/>
      <c r="LN14" s="585"/>
      <c r="LO14" s="585"/>
      <c r="LP14" s="585"/>
      <c r="LQ14" s="585"/>
    </row>
    <row r="15" spans="1:329" s="32" customFormat="1" ht="18.75" customHeight="1" thickBot="1" x14ac:dyDescent="0.3">
      <c r="A15" s="680"/>
      <c r="B15" s="308"/>
      <c r="C15" s="309"/>
      <c r="D15" s="310"/>
      <c r="E15" s="310"/>
      <c r="F15" s="310"/>
      <c r="G15" s="311"/>
      <c r="H15" s="310"/>
      <c r="I15" s="673"/>
      <c r="J15" s="27"/>
      <c r="K15" s="27"/>
      <c r="L15" s="27"/>
      <c r="M15" s="27"/>
      <c r="N15" s="27"/>
      <c r="O15" s="315"/>
      <c r="P15" s="315"/>
      <c r="Q15" s="315"/>
      <c r="R15" s="315"/>
      <c r="S15" s="315"/>
      <c r="T15" s="315"/>
      <c r="U15" s="315"/>
      <c r="V15" s="912" t="s">
        <v>237</v>
      </c>
      <c r="W15" s="867">
        <v>0</v>
      </c>
      <c r="X15" s="681"/>
      <c r="Y15" s="81">
        <f>EM+Y14</f>
        <v>0</v>
      </c>
      <c r="Z15" s="43">
        <f>Z13+Z14</f>
        <v>0</v>
      </c>
      <c r="AA15" s="27" t="s">
        <v>133</v>
      </c>
      <c r="AB15" s="669" t="s">
        <v>130</v>
      </c>
      <c r="AC15" s="670"/>
      <c r="AD15" s="669"/>
      <c r="AE15" s="670"/>
      <c r="AF15" s="671"/>
      <c r="AG15" s="27"/>
      <c r="AH15" s="27"/>
      <c r="AI15" s="27"/>
      <c r="AJ15" s="27"/>
      <c r="AK15" s="27"/>
      <c r="AL15" s="27"/>
      <c r="AM15" s="679"/>
      <c r="AN15" s="585"/>
      <c r="AO15" s="585"/>
      <c r="AP15" s="585"/>
      <c r="AQ15" s="585"/>
      <c r="AR15" s="585"/>
      <c r="AS15" s="585"/>
      <c r="AT15" s="585"/>
      <c r="AU15" s="585"/>
      <c r="AV15" s="585"/>
      <c r="AW15" s="585"/>
      <c r="AX15" s="585"/>
      <c r="AY15" s="585"/>
      <c r="AZ15" s="585"/>
      <c r="BA15" s="585"/>
      <c r="BB15" s="585"/>
      <c r="BC15" s="585"/>
      <c r="BD15" s="585"/>
      <c r="BE15" s="585"/>
      <c r="BF15" s="585"/>
      <c r="BG15" s="585"/>
      <c r="BH15" s="585"/>
      <c r="BI15" s="585"/>
      <c r="BJ15" s="585"/>
      <c r="BK15" s="585"/>
      <c r="BL15" s="585"/>
      <c r="BM15" s="585"/>
      <c r="BN15" s="585"/>
      <c r="BO15" s="585"/>
      <c r="BP15" s="585"/>
      <c r="BQ15" s="585"/>
      <c r="BR15" s="585"/>
      <c r="BS15" s="585"/>
      <c r="BT15" s="585"/>
      <c r="BU15" s="585"/>
      <c r="BV15" s="585"/>
      <c r="BW15" s="585"/>
      <c r="BX15" s="585"/>
      <c r="BY15" s="585"/>
      <c r="BZ15" s="585"/>
      <c r="CA15" s="585"/>
      <c r="CB15" s="585"/>
      <c r="CC15" s="585"/>
      <c r="CD15" s="585"/>
      <c r="CE15" s="585"/>
      <c r="CF15" s="585"/>
      <c r="CG15" s="585"/>
      <c r="CH15" s="585"/>
      <c r="CI15" s="585"/>
      <c r="CJ15" s="585"/>
      <c r="CK15" s="585"/>
      <c r="CL15" s="585"/>
      <c r="CM15" s="585"/>
      <c r="CN15" s="585"/>
      <c r="CO15" s="585"/>
      <c r="CP15" s="585"/>
      <c r="CQ15" s="585"/>
      <c r="CR15" s="585"/>
      <c r="CS15" s="585"/>
      <c r="CT15" s="585"/>
      <c r="CU15" s="585"/>
      <c r="CV15" s="585"/>
      <c r="CW15" s="585"/>
      <c r="CX15" s="585"/>
      <c r="CY15" s="585"/>
      <c r="CZ15" s="585"/>
      <c r="DA15" s="585"/>
      <c r="DB15" s="585"/>
      <c r="DC15" s="585"/>
      <c r="DD15" s="585"/>
      <c r="DE15" s="585"/>
      <c r="DF15" s="585"/>
      <c r="DG15" s="585"/>
      <c r="DH15" s="585"/>
      <c r="DI15" s="585"/>
      <c r="DJ15" s="585"/>
      <c r="DK15" s="585"/>
      <c r="DL15" s="585"/>
      <c r="DM15" s="585"/>
      <c r="DN15" s="585"/>
      <c r="DO15" s="585"/>
      <c r="DP15" s="585"/>
      <c r="DQ15" s="585"/>
      <c r="DR15" s="585"/>
      <c r="DS15" s="585"/>
      <c r="DT15" s="585"/>
      <c r="DU15" s="585"/>
      <c r="DV15" s="585"/>
      <c r="DW15" s="585"/>
      <c r="DX15" s="585"/>
      <c r="DY15" s="585"/>
      <c r="DZ15" s="585"/>
      <c r="EA15" s="585"/>
      <c r="EB15" s="585"/>
      <c r="EC15" s="585"/>
      <c r="ED15" s="585"/>
      <c r="EE15" s="585"/>
      <c r="EF15" s="585"/>
      <c r="EG15" s="585"/>
      <c r="EH15" s="585"/>
      <c r="EI15" s="585"/>
      <c r="EJ15" s="585"/>
      <c r="EK15" s="585"/>
      <c r="EL15" s="585"/>
      <c r="EM15" s="585"/>
      <c r="EN15" s="585"/>
      <c r="EO15" s="585"/>
      <c r="EP15" s="585"/>
      <c r="EQ15" s="585"/>
      <c r="ER15" s="585"/>
      <c r="ES15" s="585"/>
      <c r="ET15" s="585"/>
      <c r="EU15" s="585"/>
      <c r="EV15" s="585"/>
      <c r="EW15" s="585"/>
      <c r="EX15" s="585"/>
      <c r="EY15" s="585"/>
      <c r="EZ15" s="585"/>
      <c r="FA15" s="585"/>
      <c r="FB15" s="585"/>
      <c r="FC15" s="585"/>
      <c r="FD15" s="585"/>
      <c r="FE15" s="585"/>
      <c r="FF15" s="585"/>
      <c r="FG15" s="585"/>
      <c r="FH15" s="585"/>
      <c r="FI15" s="585"/>
      <c r="FJ15" s="585"/>
      <c r="FK15" s="585"/>
      <c r="FL15" s="585"/>
      <c r="FM15" s="585"/>
      <c r="FN15" s="585"/>
      <c r="FO15" s="585"/>
      <c r="FP15" s="585"/>
      <c r="FQ15" s="585"/>
      <c r="FR15" s="585"/>
      <c r="FS15" s="585"/>
      <c r="FT15" s="585"/>
      <c r="FU15" s="585"/>
      <c r="FV15" s="585"/>
      <c r="FW15" s="585"/>
      <c r="FX15" s="585"/>
      <c r="FY15" s="585"/>
      <c r="FZ15" s="585"/>
      <c r="GA15" s="585"/>
      <c r="GB15" s="585"/>
      <c r="GC15" s="585"/>
      <c r="GD15" s="585"/>
      <c r="GE15" s="585"/>
      <c r="GF15" s="585"/>
      <c r="GG15" s="585"/>
      <c r="GH15" s="585"/>
      <c r="GI15" s="585"/>
      <c r="GJ15" s="585"/>
      <c r="GK15" s="585"/>
      <c r="GL15" s="585"/>
      <c r="GM15" s="585"/>
      <c r="GN15" s="585"/>
      <c r="GO15" s="585"/>
      <c r="GP15" s="585"/>
      <c r="GQ15" s="585"/>
      <c r="GR15" s="585"/>
      <c r="GS15" s="585"/>
      <c r="GT15" s="585"/>
      <c r="GU15" s="585"/>
      <c r="GV15" s="585"/>
      <c r="GW15" s="585"/>
      <c r="GX15" s="585"/>
      <c r="GY15" s="585"/>
      <c r="GZ15" s="585"/>
      <c r="HA15" s="585"/>
      <c r="HB15" s="585"/>
      <c r="HC15" s="585"/>
      <c r="HD15" s="585"/>
      <c r="HE15" s="585"/>
      <c r="HF15" s="585"/>
      <c r="HG15" s="585"/>
      <c r="HH15" s="585"/>
      <c r="HI15" s="585"/>
      <c r="HJ15" s="585"/>
      <c r="HK15" s="585"/>
      <c r="HL15" s="585"/>
      <c r="HM15" s="585"/>
      <c r="HN15" s="585"/>
      <c r="HO15" s="585"/>
      <c r="HP15" s="585"/>
      <c r="HQ15" s="585"/>
      <c r="HR15" s="585"/>
      <c r="HS15" s="585"/>
      <c r="HT15" s="585"/>
      <c r="HU15" s="585"/>
      <c r="HV15" s="585"/>
      <c r="HW15" s="585"/>
      <c r="HX15" s="585"/>
      <c r="HY15" s="585"/>
      <c r="HZ15" s="585"/>
      <c r="IA15" s="585"/>
      <c r="IB15" s="585"/>
      <c r="IC15" s="585"/>
      <c r="ID15" s="585"/>
      <c r="IE15" s="585"/>
      <c r="IF15" s="585"/>
      <c r="IG15" s="585"/>
      <c r="IH15" s="585"/>
      <c r="II15" s="585"/>
      <c r="IJ15" s="585"/>
      <c r="IK15" s="585"/>
      <c r="IL15" s="585"/>
      <c r="IM15" s="585"/>
      <c r="IN15" s="585"/>
      <c r="IO15" s="585"/>
      <c r="IP15" s="585"/>
      <c r="IQ15" s="585"/>
      <c r="IR15" s="585"/>
      <c r="IS15" s="585"/>
      <c r="IT15" s="585"/>
      <c r="IU15" s="585"/>
      <c r="IV15" s="585"/>
      <c r="IW15" s="585"/>
      <c r="IX15" s="585"/>
      <c r="IY15" s="585"/>
      <c r="IZ15" s="585"/>
      <c r="JA15" s="585"/>
      <c r="JB15" s="585"/>
      <c r="JC15" s="585"/>
      <c r="JD15" s="585"/>
      <c r="JE15" s="585"/>
      <c r="JF15" s="585"/>
      <c r="JG15" s="585"/>
      <c r="JH15" s="585"/>
      <c r="JI15" s="585"/>
      <c r="JJ15" s="585"/>
      <c r="JK15" s="585"/>
      <c r="JL15" s="585"/>
      <c r="JM15" s="585"/>
      <c r="JN15" s="585"/>
      <c r="JO15" s="585"/>
      <c r="JP15" s="585"/>
      <c r="JQ15" s="585"/>
      <c r="JR15" s="585"/>
      <c r="JS15" s="585"/>
      <c r="JT15" s="585"/>
      <c r="JU15" s="585"/>
      <c r="JV15" s="585"/>
      <c r="JW15" s="585"/>
      <c r="JX15" s="585"/>
      <c r="JY15" s="585"/>
      <c r="JZ15" s="585"/>
      <c r="KA15" s="585"/>
      <c r="KB15" s="585"/>
      <c r="KC15" s="585"/>
      <c r="KD15" s="585"/>
      <c r="KE15" s="585"/>
      <c r="KF15" s="585"/>
      <c r="KG15" s="585"/>
      <c r="KH15" s="585"/>
      <c r="KI15" s="585"/>
      <c r="KJ15" s="585"/>
      <c r="KK15" s="585"/>
      <c r="KL15" s="585"/>
      <c r="KM15" s="585"/>
      <c r="KN15" s="585"/>
      <c r="KO15" s="585"/>
      <c r="KP15" s="585"/>
      <c r="KQ15" s="585"/>
      <c r="KR15" s="585"/>
      <c r="KS15" s="585"/>
      <c r="KT15" s="585"/>
      <c r="KU15" s="585"/>
      <c r="KV15" s="585"/>
      <c r="KW15" s="585"/>
      <c r="KX15" s="585"/>
      <c r="KY15" s="585"/>
      <c r="KZ15" s="585"/>
      <c r="LA15" s="585"/>
      <c r="LB15" s="585"/>
      <c r="LC15" s="585"/>
      <c r="LD15" s="585"/>
      <c r="LE15" s="585"/>
      <c r="LF15" s="585"/>
      <c r="LG15" s="585"/>
      <c r="LH15" s="585"/>
      <c r="LI15" s="585"/>
      <c r="LJ15" s="585"/>
      <c r="LK15" s="585"/>
      <c r="LL15" s="585"/>
      <c r="LM15" s="585"/>
      <c r="LN15" s="585"/>
      <c r="LO15" s="585"/>
      <c r="LP15" s="585"/>
      <c r="LQ15" s="585"/>
    </row>
    <row r="16" spans="1:329" s="31" customFormat="1" ht="4.5" customHeight="1" thickBot="1" x14ac:dyDescent="0.3">
      <c r="A16" s="307"/>
      <c r="G16" s="318"/>
      <c r="I16" s="505"/>
      <c r="L16" s="27"/>
      <c r="M16" s="27"/>
      <c r="N16" s="27"/>
      <c r="V16" s="27"/>
      <c r="W16" s="27"/>
      <c r="X16" s="27"/>
      <c r="Y16" s="27"/>
      <c r="Z16" s="682"/>
      <c r="AA16" s="406"/>
      <c r="AB16" s="406"/>
      <c r="AC16" s="406"/>
      <c r="AD16" s="27"/>
      <c r="AE16" s="406"/>
      <c r="AF16" s="406"/>
      <c r="AG16" s="406"/>
      <c r="AH16" s="406"/>
      <c r="AI16" s="683"/>
      <c r="AJ16" s="683"/>
      <c r="AK16" s="683"/>
      <c r="AL16" s="27"/>
      <c r="AM16" s="383"/>
      <c r="AN16" s="585"/>
      <c r="AO16" s="585"/>
      <c r="AP16" s="585"/>
      <c r="AQ16" s="585"/>
      <c r="AR16" s="585"/>
      <c r="AS16" s="585"/>
      <c r="AT16" s="585"/>
      <c r="AU16" s="585"/>
      <c r="AV16" s="585"/>
      <c r="AW16" s="585"/>
      <c r="AX16" s="585"/>
      <c r="AY16" s="585"/>
      <c r="AZ16" s="585"/>
      <c r="BA16" s="585"/>
      <c r="BB16" s="585"/>
      <c r="BC16" s="585"/>
      <c r="BD16" s="585"/>
      <c r="BE16" s="585"/>
      <c r="BF16" s="585"/>
      <c r="BG16" s="585"/>
      <c r="BH16" s="585"/>
      <c r="BI16" s="585"/>
      <c r="BJ16" s="585"/>
      <c r="BK16" s="585"/>
      <c r="BL16" s="585"/>
      <c r="BM16" s="585"/>
      <c r="BN16" s="585"/>
      <c r="BO16" s="585"/>
      <c r="BP16" s="585"/>
      <c r="BQ16" s="585"/>
      <c r="BR16" s="585"/>
      <c r="BS16" s="585"/>
      <c r="BT16" s="585"/>
      <c r="BU16" s="585"/>
      <c r="BV16" s="585"/>
      <c r="BW16" s="585"/>
      <c r="BX16" s="585"/>
      <c r="BY16" s="585"/>
      <c r="BZ16" s="585"/>
      <c r="CA16" s="585"/>
      <c r="CB16" s="585"/>
      <c r="CC16" s="585"/>
      <c r="CD16" s="585"/>
      <c r="CE16" s="585"/>
      <c r="CF16" s="585"/>
      <c r="CG16" s="585"/>
      <c r="CH16" s="585"/>
      <c r="CI16" s="585"/>
      <c r="CJ16" s="585"/>
      <c r="CK16" s="585"/>
      <c r="CL16" s="585"/>
      <c r="CM16" s="585"/>
      <c r="CN16" s="585"/>
      <c r="CO16" s="585"/>
      <c r="CP16" s="585"/>
      <c r="CQ16" s="585"/>
      <c r="CR16" s="585"/>
      <c r="CS16" s="585"/>
      <c r="CT16" s="585"/>
      <c r="CU16" s="585"/>
      <c r="CV16" s="585"/>
      <c r="CW16" s="585"/>
      <c r="CX16" s="585"/>
      <c r="CY16" s="585"/>
      <c r="CZ16" s="585"/>
      <c r="DA16" s="585"/>
      <c r="DB16" s="585"/>
      <c r="DC16" s="585"/>
      <c r="DD16" s="585"/>
      <c r="DE16" s="585"/>
      <c r="DF16" s="585"/>
      <c r="DG16" s="585"/>
      <c r="DH16" s="585"/>
      <c r="DI16" s="585"/>
      <c r="DJ16" s="585"/>
      <c r="DK16" s="585"/>
      <c r="DL16" s="585"/>
      <c r="DM16" s="585"/>
      <c r="DN16" s="585"/>
      <c r="DO16" s="585"/>
      <c r="DP16" s="585"/>
      <c r="DQ16" s="585"/>
      <c r="DR16" s="585"/>
      <c r="DS16" s="585"/>
      <c r="DT16" s="585"/>
      <c r="DU16" s="585"/>
      <c r="DV16" s="585"/>
      <c r="DW16" s="585"/>
      <c r="DX16" s="585"/>
      <c r="DY16" s="585"/>
      <c r="DZ16" s="585"/>
      <c r="EA16" s="585"/>
      <c r="EB16" s="585"/>
      <c r="EC16" s="585"/>
      <c r="ED16" s="585"/>
      <c r="EE16" s="585"/>
      <c r="EF16" s="585"/>
      <c r="EG16" s="585"/>
      <c r="EH16" s="585"/>
      <c r="EI16" s="585"/>
      <c r="EJ16" s="585"/>
      <c r="EK16" s="585"/>
      <c r="EL16" s="585"/>
      <c r="EM16" s="585"/>
      <c r="EN16" s="585"/>
      <c r="EO16" s="585"/>
      <c r="EP16" s="585"/>
      <c r="EQ16" s="585"/>
      <c r="ER16" s="585"/>
      <c r="ES16" s="585"/>
      <c r="ET16" s="585"/>
      <c r="EU16" s="585"/>
      <c r="EV16" s="585"/>
      <c r="EW16" s="585"/>
      <c r="EX16" s="585"/>
      <c r="EY16" s="585"/>
      <c r="EZ16" s="585"/>
      <c r="FA16" s="585"/>
      <c r="FB16" s="585"/>
      <c r="FC16" s="585"/>
      <c r="FD16" s="585"/>
      <c r="FE16" s="585"/>
      <c r="FF16" s="585"/>
      <c r="FG16" s="585"/>
      <c r="FH16" s="585"/>
      <c r="FI16" s="585"/>
      <c r="FJ16" s="585"/>
      <c r="FK16" s="585"/>
      <c r="FL16" s="585"/>
      <c r="FM16" s="585"/>
      <c r="FN16" s="585"/>
      <c r="FO16" s="585"/>
      <c r="FP16" s="585"/>
      <c r="FQ16" s="585"/>
      <c r="FR16" s="585"/>
      <c r="FS16" s="585"/>
      <c r="FT16" s="585"/>
      <c r="FU16" s="585"/>
      <c r="FV16" s="585"/>
      <c r="FW16" s="585"/>
      <c r="FX16" s="585"/>
      <c r="FY16" s="585"/>
      <c r="FZ16" s="585"/>
      <c r="GA16" s="585"/>
      <c r="GB16" s="585"/>
      <c r="GC16" s="585"/>
      <c r="GD16" s="585"/>
      <c r="GE16" s="585"/>
      <c r="GF16" s="585"/>
      <c r="GG16" s="585"/>
      <c r="GH16" s="585"/>
      <c r="GI16" s="585"/>
      <c r="GJ16" s="585"/>
      <c r="GK16" s="585"/>
      <c r="GL16" s="585"/>
      <c r="GM16" s="585"/>
      <c r="GN16" s="585"/>
      <c r="GO16" s="585"/>
      <c r="GP16" s="585"/>
      <c r="GQ16" s="585"/>
      <c r="GR16" s="585"/>
      <c r="GS16" s="585"/>
      <c r="GT16" s="585"/>
      <c r="GU16" s="585"/>
      <c r="GV16" s="585"/>
      <c r="GW16" s="585"/>
      <c r="GX16" s="585"/>
      <c r="GY16" s="585"/>
      <c r="GZ16" s="585"/>
      <c r="HA16" s="585"/>
      <c r="HB16" s="585"/>
      <c r="HC16" s="585"/>
      <c r="HD16" s="585"/>
      <c r="HE16" s="585"/>
      <c r="HF16" s="585"/>
      <c r="HG16" s="585"/>
      <c r="HH16" s="585"/>
      <c r="HI16" s="585"/>
      <c r="HJ16" s="585"/>
      <c r="HK16" s="585"/>
      <c r="HL16" s="585"/>
      <c r="HM16" s="585"/>
      <c r="HN16" s="585"/>
      <c r="HO16" s="585"/>
      <c r="HP16" s="585"/>
      <c r="HQ16" s="585"/>
      <c r="HR16" s="585"/>
      <c r="HS16" s="585"/>
      <c r="HT16" s="585"/>
      <c r="HU16" s="585"/>
      <c r="HV16" s="585"/>
      <c r="HW16" s="585"/>
      <c r="HX16" s="585"/>
      <c r="HY16" s="585"/>
      <c r="HZ16" s="585"/>
      <c r="IA16" s="585"/>
      <c r="IB16" s="585"/>
      <c r="IC16" s="585"/>
      <c r="ID16" s="585"/>
      <c r="IE16" s="585"/>
      <c r="IF16" s="585"/>
      <c r="IG16" s="585"/>
      <c r="IH16" s="585"/>
      <c r="II16" s="585"/>
      <c r="IJ16" s="585"/>
      <c r="IK16" s="585"/>
      <c r="IL16" s="585"/>
      <c r="IM16" s="585"/>
      <c r="IN16" s="585"/>
      <c r="IO16" s="585"/>
      <c r="IP16" s="585"/>
      <c r="IQ16" s="585"/>
      <c r="IR16" s="585"/>
      <c r="IS16" s="585"/>
      <c r="IT16" s="585"/>
      <c r="IU16" s="585"/>
      <c r="IV16" s="585"/>
      <c r="IW16" s="585"/>
      <c r="IX16" s="585"/>
      <c r="IY16" s="585"/>
      <c r="IZ16" s="585"/>
      <c r="JA16" s="585"/>
      <c r="JB16" s="585"/>
      <c r="JC16" s="585"/>
      <c r="JD16" s="585"/>
      <c r="JE16" s="585"/>
      <c r="JF16" s="585"/>
      <c r="JG16" s="585"/>
      <c r="JH16" s="585"/>
      <c r="JI16" s="585"/>
      <c r="JJ16" s="585"/>
      <c r="JK16" s="585"/>
      <c r="JL16" s="585"/>
      <c r="JM16" s="585"/>
      <c r="JN16" s="585"/>
      <c r="JO16" s="585"/>
      <c r="JP16" s="585"/>
      <c r="JQ16" s="585"/>
      <c r="JR16" s="585"/>
      <c r="JS16" s="585"/>
      <c r="JT16" s="585"/>
      <c r="JU16" s="585"/>
      <c r="JV16" s="585"/>
      <c r="JW16" s="585"/>
      <c r="JX16" s="585"/>
      <c r="JY16" s="585"/>
      <c r="JZ16" s="585"/>
      <c r="KA16" s="585"/>
      <c r="KB16" s="585"/>
      <c r="KC16" s="585"/>
      <c r="KD16" s="585"/>
      <c r="KE16" s="585"/>
      <c r="KF16" s="585"/>
      <c r="KG16" s="585"/>
      <c r="KH16" s="585"/>
      <c r="KI16" s="585"/>
      <c r="KJ16" s="585"/>
      <c r="KK16" s="585"/>
      <c r="KL16" s="585"/>
      <c r="KM16" s="585"/>
      <c r="KN16" s="585"/>
      <c r="KO16" s="585"/>
      <c r="KP16" s="585"/>
      <c r="KQ16" s="585"/>
      <c r="KR16" s="585"/>
      <c r="KS16" s="585"/>
      <c r="KT16" s="585"/>
      <c r="KU16" s="585"/>
      <c r="KV16" s="585"/>
      <c r="KW16" s="585"/>
      <c r="KX16" s="585"/>
      <c r="KY16" s="585"/>
      <c r="KZ16" s="585"/>
      <c r="LA16" s="585"/>
      <c r="LB16" s="585"/>
      <c r="LC16" s="585"/>
      <c r="LD16" s="585"/>
      <c r="LE16" s="585"/>
      <c r="LF16" s="585"/>
      <c r="LG16" s="585"/>
      <c r="LH16" s="585"/>
      <c r="LI16" s="585"/>
      <c r="LJ16" s="585"/>
      <c r="LK16" s="585"/>
      <c r="LL16" s="585"/>
      <c r="LM16" s="585"/>
      <c r="LN16" s="585"/>
      <c r="LO16" s="585"/>
      <c r="LP16" s="585"/>
      <c r="LQ16" s="585"/>
    </row>
    <row r="17" spans="1:329" s="32" customFormat="1" ht="24" customHeight="1" thickBot="1" x14ac:dyDescent="0.3">
      <c r="A17" s="307"/>
      <c r="B17" s="308"/>
      <c r="C17" s="309" t="s">
        <v>13</v>
      </c>
      <c r="D17" s="310"/>
      <c r="E17" s="310"/>
      <c r="F17" s="310"/>
      <c r="G17" s="311"/>
      <c r="H17" s="51"/>
      <c r="I17" s="54" t="s">
        <v>65</v>
      </c>
      <c r="J17" s="55"/>
      <c r="K17" s="389"/>
      <c r="L17" s="389"/>
      <c r="M17" s="389"/>
      <c r="N17" s="389"/>
      <c r="O17" s="389"/>
      <c r="P17" s="389"/>
      <c r="Q17" s="389"/>
      <c r="R17" s="389"/>
      <c r="S17" s="389"/>
      <c r="T17" s="389"/>
      <c r="U17" s="389"/>
      <c r="V17" s="390"/>
      <c r="W17" s="452"/>
      <c r="X17" s="391"/>
      <c r="Y17" s="391"/>
      <c r="Z17" s="391"/>
      <c r="AA17" s="391"/>
      <c r="AB17" s="391"/>
      <c r="AC17" s="391"/>
      <c r="AD17" s="391"/>
      <c r="AE17" s="391"/>
      <c r="AF17" s="391"/>
      <c r="AG17" s="391"/>
      <c r="AH17" s="391"/>
      <c r="AI17" s="391"/>
      <c r="AJ17" s="391"/>
      <c r="AK17" s="451"/>
      <c r="AL17" s="467" t="s">
        <v>84</v>
      </c>
      <c r="AM17" s="384"/>
      <c r="AN17" s="585"/>
      <c r="AO17" s="585"/>
      <c r="AP17" s="585"/>
      <c r="AQ17" s="585"/>
      <c r="AR17" s="585"/>
      <c r="AS17" s="585"/>
      <c r="AT17" s="585"/>
      <c r="AU17" s="585"/>
      <c r="AV17" s="585"/>
      <c r="AW17" s="585"/>
      <c r="AX17" s="585"/>
      <c r="AY17" s="585"/>
      <c r="AZ17" s="585"/>
      <c r="BA17" s="585"/>
      <c r="BB17" s="585"/>
      <c r="BC17" s="585"/>
      <c r="BD17" s="585"/>
      <c r="BE17" s="585"/>
      <c r="BF17" s="585"/>
      <c r="BG17" s="585"/>
      <c r="BH17" s="585"/>
      <c r="BI17" s="585"/>
      <c r="BJ17" s="585"/>
      <c r="BK17" s="585"/>
      <c r="BL17" s="585"/>
      <c r="BM17" s="585"/>
      <c r="BN17" s="585"/>
      <c r="BO17" s="585"/>
      <c r="BP17" s="585"/>
      <c r="BQ17" s="585"/>
      <c r="BR17" s="585"/>
      <c r="BS17" s="585"/>
      <c r="BT17" s="585"/>
      <c r="BU17" s="585"/>
      <c r="BV17" s="585"/>
      <c r="BW17" s="585"/>
      <c r="BX17" s="585"/>
      <c r="BY17" s="585"/>
      <c r="BZ17" s="585"/>
      <c r="CA17" s="585"/>
      <c r="CB17" s="585"/>
      <c r="CC17" s="585"/>
      <c r="CD17" s="585"/>
      <c r="CE17" s="585"/>
      <c r="CF17" s="585"/>
      <c r="CG17" s="585"/>
      <c r="CH17" s="585"/>
      <c r="CI17" s="585"/>
      <c r="CJ17" s="585"/>
      <c r="CK17" s="585"/>
      <c r="CL17" s="585"/>
      <c r="CM17" s="585"/>
      <c r="CN17" s="585"/>
      <c r="CO17" s="585"/>
      <c r="CP17" s="585"/>
      <c r="CQ17" s="585"/>
      <c r="CR17" s="585"/>
      <c r="CS17" s="585"/>
      <c r="CT17" s="585"/>
      <c r="CU17" s="585"/>
      <c r="CV17" s="585"/>
      <c r="CW17" s="585"/>
      <c r="CX17" s="585"/>
      <c r="CY17" s="585"/>
      <c r="CZ17" s="585"/>
      <c r="DA17" s="585"/>
      <c r="DB17" s="585"/>
      <c r="DC17" s="585"/>
      <c r="DD17" s="585"/>
      <c r="DE17" s="585"/>
      <c r="DF17" s="585"/>
      <c r="DG17" s="585"/>
      <c r="DH17" s="585"/>
      <c r="DI17" s="585"/>
      <c r="DJ17" s="585"/>
      <c r="DK17" s="585"/>
      <c r="DL17" s="585"/>
      <c r="DM17" s="585"/>
      <c r="DN17" s="585"/>
      <c r="DO17" s="585"/>
      <c r="DP17" s="585"/>
      <c r="DQ17" s="585"/>
      <c r="DR17" s="585"/>
      <c r="DS17" s="585"/>
      <c r="DT17" s="585"/>
      <c r="DU17" s="585"/>
      <c r="DV17" s="585"/>
      <c r="DW17" s="585"/>
      <c r="DX17" s="585"/>
      <c r="DY17" s="585"/>
      <c r="DZ17" s="585"/>
      <c r="EA17" s="585"/>
      <c r="EB17" s="585"/>
      <c r="EC17" s="585"/>
      <c r="ED17" s="585"/>
      <c r="EE17" s="585"/>
      <c r="EF17" s="585"/>
      <c r="EG17" s="585"/>
      <c r="EH17" s="585"/>
      <c r="EI17" s="585"/>
      <c r="EJ17" s="585"/>
      <c r="EK17" s="585"/>
      <c r="EL17" s="585"/>
      <c r="EM17" s="585"/>
      <c r="EN17" s="585"/>
      <c r="EO17" s="585"/>
      <c r="EP17" s="585"/>
      <c r="EQ17" s="585"/>
      <c r="ER17" s="585"/>
      <c r="ES17" s="585"/>
      <c r="ET17" s="585"/>
      <c r="EU17" s="585"/>
      <c r="EV17" s="585"/>
      <c r="EW17" s="585"/>
      <c r="EX17" s="585"/>
      <c r="EY17" s="585"/>
      <c r="EZ17" s="585"/>
      <c r="FA17" s="585"/>
      <c r="FB17" s="585"/>
      <c r="FC17" s="585"/>
      <c r="FD17" s="585"/>
      <c r="FE17" s="585"/>
      <c r="FF17" s="585"/>
      <c r="FG17" s="585"/>
      <c r="FH17" s="585"/>
      <c r="FI17" s="585"/>
      <c r="FJ17" s="585"/>
      <c r="FK17" s="585"/>
      <c r="FL17" s="585"/>
      <c r="FM17" s="585"/>
      <c r="FN17" s="585"/>
      <c r="FO17" s="585"/>
      <c r="FP17" s="585"/>
      <c r="FQ17" s="585"/>
      <c r="FR17" s="585"/>
      <c r="FS17" s="585"/>
      <c r="FT17" s="585"/>
      <c r="FU17" s="585"/>
      <c r="FV17" s="585"/>
      <c r="FW17" s="585"/>
      <c r="FX17" s="585"/>
      <c r="FY17" s="585"/>
      <c r="FZ17" s="585"/>
      <c r="GA17" s="585"/>
      <c r="GB17" s="585"/>
      <c r="GC17" s="585"/>
      <c r="GD17" s="585"/>
      <c r="GE17" s="585"/>
      <c r="GF17" s="585"/>
      <c r="GG17" s="585"/>
      <c r="GH17" s="585"/>
      <c r="GI17" s="585"/>
      <c r="GJ17" s="585"/>
      <c r="GK17" s="585"/>
      <c r="GL17" s="585"/>
      <c r="GM17" s="585"/>
      <c r="GN17" s="585"/>
      <c r="GO17" s="585"/>
      <c r="GP17" s="585"/>
      <c r="GQ17" s="585"/>
      <c r="GR17" s="585"/>
      <c r="GS17" s="585"/>
      <c r="GT17" s="585"/>
      <c r="GU17" s="585"/>
      <c r="GV17" s="585"/>
      <c r="GW17" s="585"/>
      <c r="GX17" s="585"/>
      <c r="GY17" s="585"/>
      <c r="GZ17" s="585"/>
      <c r="HA17" s="585"/>
      <c r="HB17" s="585"/>
      <c r="HC17" s="585"/>
      <c r="HD17" s="585"/>
      <c r="HE17" s="585"/>
      <c r="HF17" s="585"/>
      <c r="HG17" s="585"/>
      <c r="HH17" s="585"/>
      <c r="HI17" s="585"/>
      <c r="HJ17" s="585"/>
      <c r="HK17" s="585"/>
      <c r="HL17" s="585"/>
      <c r="HM17" s="585"/>
      <c r="HN17" s="585"/>
      <c r="HO17" s="585"/>
      <c r="HP17" s="585"/>
      <c r="HQ17" s="585"/>
      <c r="HR17" s="585"/>
      <c r="HS17" s="585"/>
      <c r="HT17" s="585"/>
      <c r="HU17" s="585"/>
      <c r="HV17" s="585"/>
      <c r="HW17" s="585"/>
      <c r="HX17" s="585"/>
      <c r="HY17" s="585"/>
      <c r="HZ17" s="585"/>
      <c r="IA17" s="585"/>
      <c r="IB17" s="585"/>
      <c r="IC17" s="585"/>
      <c r="ID17" s="585"/>
      <c r="IE17" s="585"/>
      <c r="IF17" s="585"/>
      <c r="IG17" s="585"/>
      <c r="IH17" s="585"/>
      <c r="II17" s="585"/>
      <c r="IJ17" s="585"/>
      <c r="IK17" s="585"/>
      <c r="IL17" s="585"/>
      <c r="IM17" s="585"/>
      <c r="IN17" s="585"/>
      <c r="IO17" s="585"/>
      <c r="IP17" s="585"/>
      <c r="IQ17" s="585"/>
      <c r="IR17" s="585"/>
      <c r="IS17" s="585"/>
      <c r="IT17" s="585"/>
      <c r="IU17" s="585"/>
      <c r="IV17" s="585"/>
      <c r="IW17" s="585"/>
      <c r="IX17" s="585"/>
      <c r="IY17" s="585"/>
      <c r="IZ17" s="585"/>
      <c r="JA17" s="585"/>
      <c r="JB17" s="585"/>
      <c r="JC17" s="585"/>
      <c r="JD17" s="585"/>
      <c r="JE17" s="585"/>
      <c r="JF17" s="585"/>
      <c r="JG17" s="585"/>
      <c r="JH17" s="585"/>
      <c r="JI17" s="585"/>
      <c r="JJ17" s="585"/>
      <c r="JK17" s="585"/>
      <c r="JL17" s="585"/>
      <c r="JM17" s="585"/>
      <c r="JN17" s="585"/>
      <c r="JO17" s="585"/>
      <c r="JP17" s="585"/>
      <c r="JQ17" s="585"/>
      <c r="JR17" s="585"/>
      <c r="JS17" s="585"/>
      <c r="JT17" s="585"/>
      <c r="JU17" s="585"/>
      <c r="JV17" s="585"/>
      <c r="JW17" s="585"/>
      <c r="JX17" s="585"/>
      <c r="JY17" s="585"/>
      <c r="JZ17" s="585"/>
      <c r="KA17" s="585"/>
      <c r="KB17" s="585"/>
      <c r="KC17" s="585"/>
      <c r="KD17" s="585"/>
      <c r="KE17" s="585"/>
      <c r="KF17" s="585"/>
      <c r="KG17" s="585"/>
      <c r="KH17" s="585"/>
      <c r="KI17" s="585"/>
      <c r="KJ17" s="585"/>
      <c r="KK17" s="585"/>
      <c r="KL17" s="585"/>
      <c r="KM17" s="585"/>
      <c r="KN17" s="585"/>
      <c r="KO17" s="585"/>
      <c r="KP17" s="585"/>
      <c r="KQ17" s="585"/>
      <c r="KR17" s="585"/>
      <c r="KS17" s="585"/>
      <c r="KT17" s="585"/>
      <c r="KU17" s="585"/>
      <c r="KV17" s="585"/>
      <c r="KW17" s="585"/>
      <c r="KX17" s="585"/>
      <c r="KY17" s="585"/>
      <c r="KZ17" s="585"/>
      <c r="LA17" s="585"/>
      <c r="LB17" s="585"/>
      <c r="LC17" s="585"/>
      <c r="LD17" s="585"/>
      <c r="LE17" s="585"/>
      <c r="LF17" s="585"/>
      <c r="LG17" s="585"/>
      <c r="LH17" s="585"/>
      <c r="LI17" s="585"/>
      <c r="LJ17" s="585"/>
      <c r="LK17" s="585"/>
      <c r="LL17" s="585"/>
      <c r="LM17" s="585"/>
      <c r="LN17" s="585"/>
      <c r="LO17" s="585"/>
      <c r="LP17" s="585"/>
      <c r="LQ17" s="585"/>
    </row>
    <row r="18" spans="1:329" s="32" customFormat="1" ht="18.75" customHeight="1" thickBot="1" x14ac:dyDescent="0.3">
      <c r="A18" s="312"/>
      <c r="B18" s="684" t="str">
        <f>IF(TM_FM=1,"TM",IF(TM_FM=2,"FM",""))</f>
        <v>TM</v>
      </c>
      <c r="C18" s="685"/>
      <c r="D18" s="311"/>
      <c r="E18" s="311"/>
      <c r="F18" s="311"/>
      <c r="G18" s="311"/>
      <c r="H18" s="56" t="s">
        <v>53</v>
      </c>
      <c r="I18" s="56" t="s">
        <v>159</v>
      </c>
      <c r="J18" s="57" t="e">
        <f>"ME_FAN"&amp;ROUND(H9,1)</f>
        <v>#DIV/0!</v>
      </c>
      <c r="K18" s="57" t="s">
        <v>162</v>
      </c>
      <c r="L18" s="365" t="e">
        <f>"sidP_FAN"&amp;ROUND(H9,1)</f>
        <v>#DIV/0!</v>
      </c>
      <c r="M18" s="363" t="str">
        <f>INDEX(Tabelle_Kopf,4,17)</f>
        <v>RMD_FAN1</v>
      </c>
      <c r="N18" s="363" t="e">
        <f>"RMD_FAN"&amp;ROUND(H9,1)</f>
        <v>#DIV/0!</v>
      </c>
      <c r="O18" s="120" t="s">
        <v>125</v>
      </c>
      <c r="P18" s="363" t="s">
        <v>142</v>
      </c>
      <c r="Q18" s="363" t="s">
        <v>124</v>
      </c>
      <c r="R18" s="363" t="s">
        <v>167</v>
      </c>
      <c r="S18" s="363" t="s">
        <v>145</v>
      </c>
      <c r="T18" s="363" t="s">
        <v>143</v>
      </c>
      <c r="U18" s="120" t="str">
        <f>Futterwerte!AA6</f>
        <v>CL</v>
      </c>
      <c r="V18" s="417" t="s">
        <v>57</v>
      </c>
      <c r="W18" s="453" t="s">
        <v>58</v>
      </c>
      <c r="X18" s="58" t="s">
        <v>131</v>
      </c>
      <c r="Y18" s="59" t="str">
        <f t="shared" ref="Y18:AI18" si="0">I18</f>
        <v>ME_FAN1</v>
      </c>
      <c r="Z18" s="59" t="e">
        <f t="shared" si="0"/>
        <v>#DIV/0!</v>
      </c>
      <c r="AA18" s="59" t="str">
        <f t="shared" si="0"/>
        <v>sidP_FAN1</v>
      </c>
      <c r="AB18" s="59" t="e">
        <f t="shared" si="0"/>
        <v>#DIV/0!</v>
      </c>
      <c r="AC18" s="59" t="str">
        <f t="shared" si="0"/>
        <v>RMD_FAN1</v>
      </c>
      <c r="AD18" s="392" t="e">
        <f t="shared" si="0"/>
        <v>#DIV/0!</v>
      </c>
      <c r="AE18" s="120" t="str">
        <f>O18</f>
        <v>aNDFomGF</v>
      </c>
      <c r="AF18" s="59" t="str">
        <f t="shared" si="0"/>
        <v>ST+ZU-bST</v>
      </c>
      <c r="AG18" s="59" t="str">
        <f t="shared" si="0"/>
        <v>aNDFom</v>
      </c>
      <c r="AH18" s="59" t="str">
        <f>R18</f>
        <v>ST</v>
      </c>
      <c r="AI18" s="392" t="str">
        <f t="shared" si="0"/>
        <v>bST</v>
      </c>
      <c r="AJ18" s="363" t="s">
        <v>143</v>
      </c>
      <c r="AK18" s="120" t="str">
        <f t="shared" ref="AK18" si="1">U18</f>
        <v>CL</v>
      </c>
      <c r="AL18" s="417" t="s">
        <v>55</v>
      </c>
      <c r="AM18" s="384"/>
      <c r="AN18" s="585"/>
      <c r="AO18" s="585"/>
      <c r="AP18" s="585"/>
      <c r="AQ18" s="585"/>
      <c r="AR18" s="585"/>
      <c r="AS18" s="585"/>
      <c r="AT18" s="585"/>
      <c r="AU18" s="585"/>
      <c r="AV18" s="585"/>
      <c r="AW18" s="585"/>
      <c r="AX18" s="585"/>
      <c r="AY18" s="585"/>
      <c r="AZ18" s="585"/>
      <c r="BA18" s="585"/>
      <c r="BB18" s="585"/>
      <c r="BC18" s="585"/>
      <c r="BD18" s="585"/>
      <c r="BE18" s="585"/>
      <c r="BF18" s="585"/>
      <c r="BG18" s="585"/>
      <c r="BH18" s="585"/>
      <c r="BI18" s="585"/>
      <c r="BJ18" s="585"/>
      <c r="BK18" s="585"/>
      <c r="BL18" s="585"/>
      <c r="BM18" s="585"/>
      <c r="BN18" s="585"/>
      <c r="BO18" s="585"/>
      <c r="BP18" s="585"/>
      <c r="BQ18" s="585"/>
      <c r="BR18" s="585"/>
      <c r="BS18" s="585"/>
      <c r="BT18" s="585"/>
      <c r="BU18" s="585"/>
      <c r="BV18" s="585"/>
      <c r="BW18" s="585"/>
      <c r="BX18" s="585"/>
      <c r="BY18" s="585"/>
      <c r="BZ18" s="585"/>
      <c r="CA18" s="585"/>
      <c r="CB18" s="585"/>
      <c r="CC18" s="585"/>
      <c r="CD18" s="585"/>
      <c r="CE18" s="585"/>
      <c r="CF18" s="585"/>
      <c r="CG18" s="585"/>
      <c r="CH18" s="585"/>
      <c r="CI18" s="585"/>
      <c r="CJ18" s="585"/>
      <c r="CK18" s="585"/>
      <c r="CL18" s="585"/>
      <c r="CM18" s="585"/>
      <c r="CN18" s="585"/>
      <c r="CO18" s="585"/>
      <c r="CP18" s="585"/>
      <c r="CQ18" s="585"/>
      <c r="CR18" s="585"/>
      <c r="CS18" s="585"/>
      <c r="CT18" s="585"/>
      <c r="CU18" s="585"/>
      <c r="CV18" s="585"/>
      <c r="CW18" s="585"/>
      <c r="CX18" s="585"/>
      <c r="CY18" s="585"/>
      <c r="CZ18" s="585"/>
      <c r="DA18" s="585"/>
      <c r="DB18" s="585"/>
      <c r="DC18" s="585"/>
      <c r="DD18" s="585"/>
      <c r="DE18" s="585"/>
      <c r="DF18" s="585"/>
      <c r="DG18" s="585"/>
      <c r="DH18" s="585"/>
      <c r="DI18" s="585"/>
      <c r="DJ18" s="585"/>
      <c r="DK18" s="585"/>
      <c r="DL18" s="585"/>
      <c r="DM18" s="585"/>
      <c r="DN18" s="585"/>
      <c r="DO18" s="585"/>
      <c r="DP18" s="585"/>
      <c r="DQ18" s="585"/>
      <c r="DR18" s="585"/>
      <c r="DS18" s="585"/>
      <c r="DT18" s="585"/>
      <c r="DU18" s="585"/>
      <c r="DV18" s="585"/>
      <c r="DW18" s="585"/>
      <c r="DX18" s="585"/>
      <c r="DY18" s="585"/>
      <c r="DZ18" s="585"/>
      <c r="EA18" s="585"/>
      <c r="EB18" s="585"/>
      <c r="EC18" s="585"/>
      <c r="ED18" s="585"/>
      <c r="EE18" s="585"/>
      <c r="EF18" s="585"/>
      <c r="EG18" s="585"/>
      <c r="EH18" s="585"/>
      <c r="EI18" s="585"/>
      <c r="EJ18" s="585"/>
      <c r="EK18" s="585"/>
      <c r="EL18" s="585"/>
      <c r="EM18" s="585"/>
      <c r="EN18" s="585"/>
      <c r="EO18" s="585"/>
      <c r="EP18" s="585"/>
      <c r="EQ18" s="585"/>
      <c r="ER18" s="585"/>
      <c r="ES18" s="585"/>
      <c r="ET18" s="585"/>
      <c r="EU18" s="585"/>
      <c r="EV18" s="585"/>
      <c r="EW18" s="585"/>
      <c r="EX18" s="585"/>
      <c r="EY18" s="585"/>
      <c r="EZ18" s="585"/>
      <c r="FA18" s="585"/>
      <c r="FB18" s="585"/>
      <c r="FC18" s="585"/>
      <c r="FD18" s="585"/>
      <c r="FE18" s="585"/>
      <c r="FF18" s="585"/>
      <c r="FG18" s="585"/>
      <c r="FH18" s="585"/>
      <c r="FI18" s="585"/>
      <c r="FJ18" s="585"/>
      <c r="FK18" s="585"/>
      <c r="FL18" s="585"/>
      <c r="FM18" s="585"/>
      <c r="FN18" s="585"/>
      <c r="FO18" s="585"/>
      <c r="FP18" s="585"/>
      <c r="FQ18" s="585"/>
      <c r="FR18" s="585"/>
      <c r="FS18" s="585"/>
      <c r="FT18" s="585"/>
      <c r="FU18" s="585"/>
      <c r="FV18" s="585"/>
      <c r="FW18" s="585"/>
      <c r="FX18" s="585"/>
      <c r="FY18" s="585"/>
      <c r="FZ18" s="585"/>
      <c r="GA18" s="585"/>
      <c r="GB18" s="585"/>
      <c r="GC18" s="585"/>
      <c r="GD18" s="585"/>
      <c r="GE18" s="585"/>
      <c r="GF18" s="585"/>
      <c r="GG18" s="585"/>
      <c r="GH18" s="585"/>
      <c r="GI18" s="585"/>
      <c r="GJ18" s="585"/>
      <c r="GK18" s="585"/>
      <c r="GL18" s="585"/>
      <c r="GM18" s="585"/>
      <c r="GN18" s="585"/>
      <c r="GO18" s="585"/>
      <c r="GP18" s="585"/>
      <c r="GQ18" s="585"/>
      <c r="GR18" s="585"/>
      <c r="GS18" s="585"/>
      <c r="GT18" s="585"/>
      <c r="GU18" s="585"/>
      <c r="GV18" s="585"/>
      <c r="GW18" s="585"/>
      <c r="GX18" s="585"/>
      <c r="GY18" s="585"/>
      <c r="GZ18" s="585"/>
      <c r="HA18" s="585"/>
      <c r="HB18" s="585"/>
      <c r="HC18" s="585"/>
      <c r="HD18" s="585"/>
      <c r="HE18" s="585"/>
      <c r="HF18" s="585"/>
      <c r="HG18" s="585"/>
      <c r="HH18" s="585"/>
      <c r="HI18" s="585"/>
      <c r="HJ18" s="585"/>
      <c r="HK18" s="585"/>
      <c r="HL18" s="585"/>
      <c r="HM18" s="585"/>
      <c r="HN18" s="585"/>
      <c r="HO18" s="585"/>
      <c r="HP18" s="585"/>
      <c r="HQ18" s="585"/>
      <c r="HR18" s="585"/>
      <c r="HS18" s="585"/>
      <c r="HT18" s="585"/>
      <c r="HU18" s="585"/>
      <c r="HV18" s="585"/>
      <c r="HW18" s="585"/>
      <c r="HX18" s="585"/>
      <c r="HY18" s="585"/>
      <c r="HZ18" s="585"/>
      <c r="IA18" s="585"/>
      <c r="IB18" s="585"/>
      <c r="IC18" s="585"/>
      <c r="ID18" s="585"/>
      <c r="IE18" s="585"/>
      <c r="IF18" s="585"/>
      <c r="IG18" s="585"/>
      <c r="IH18" s="585"/>
      <c r="II18" s="585"/>
      <c r="IJ18" s="585"/>
      <c r="IK18" s="585"/>
      <c r="IL18" s="585"/>
      <c r="IM18" s="585"/>
      <c r="IN18" s="585"/>
      <c r="IO18" s="585"/>
      <c r="IP18" s="585"/>
      <c r="IQ18" s="585"/>
      <c r="IR18" s="585"/>
      <c r="IS18" s="585"/>
      <c r="IT18" s="585"/>
      <c r="IU18" s="585"/>
      <c r="IV18" s="585"/>
      <c r="IW18" s="585"/>
      <c r="IX18" s="585"/>
      <c r="IY18" s="585"/>
      <c r="IZ18" s="585"/>
      <c r="JA18" s="585"/>
      <c r="JB18" s="585"/>
      <c r="JC18" s="585"/>
      <c r="JD18" s="585"/>
      <c r="JE18" s="585"/>
      <c r="JF18" s="585"/>
      <c r="JG18" s="585"/>
      <c r="JH18" s="585"/>
      <c r="JI18" s="585"/>
      <c r="JJ18" s="585"/>
      <c r="JK18" s="585"/>
      <c r="JL18" s="585"/>
      <c r="JM18" s="585"/>
      <c r="JN18" s="585"/>
      <c r="JO18" s="585"/>
      <c r="JP18" s="585"/>
      <c r="JQ18" s="585"/>
      <c r="JR18" s="585"/>
      <c r="JS18" s="585"/>
      <c r="JT18" s="585"/>
      <c r="JU18" s="585"/>
      <c r="JV18" s="585"/>
      <c r="JW18" s="585"/>
      <c r="JX18" s="585"/>
      <c r="JY18" s="585"/>
      <c r="JZ18" s="585"/>
      <c r="KA18" s="585"/>
      <c r="KB18" s="585"/>
      <c r="KC18" s="585"/>
      <c r="KD18" s="585"/>
      <c r="KE18" s="585"/>
      <c r="KF18" s="585"/>
      <c r="KG18" s="585"/>
      <c r="KH18" s="585"/>
      <c r="KI18" s="585"/>
      <c r="KJ18" s="585"/>
      <c r="KK18" s="585"/>
      <c r="KL18" s="585"/>
      <c r="KM18" s="585"/>
      <c r="KN18" s="585"/>
      <c r="KO18" s="585"/>
      <c r="KP18" s="585"/>
      <c r="KQ18" s="585"/>
      <c r="KR18" s="585"/>
      <c r="KS18" s="585"/>
      <c r="KT18" s="585"/>
      <c r="KU18" s="585"/>
      <c r="KV18" s="585"/>
      <c r="KW18" s="585"/>
      <c r="KX18" s="585"/>
      <c r="KY18" s="585"/>
      <c r="KZ18" s="585"/>
      <c r="LA18" s="585"/>
      <c r="LB18" s="585"/>
      <c r="LC18" s="585"/>
      <c r="LD18" s="585"/>
      <c r="LE18" s="585"/>
      <c r="LF18" s="585"/>
      <c r="LG18" s="585"/>
      <c r="LH18" s="585"/>
      <c r="LI18" s="585"/>
      <c r="LJ18" s="585"/>
      <c r="LK18" s="585"/>
      <c r="LL18" s="585"/>
      <c r="LM18" s="585"/>
      <c r="LN18" s="585"/>
      <c r="LO18" s="585"/>
      <c r="LP18" s="585"/>
      <c r="LQ18" s="585"/>
    </row>
    <row r="19" spans="1:329" s="32" customFormat="1" ht="18.75" customHeight="1" thickBot="1" x14ac:dyDescent="0.3">
      <c r="A19" s="313"/>
      <c r="B19" s="686" t="s">
        <v>4</v>
      </c>
      <c r="C19" s="10"/>
      <c r="D19" s="935" t="s">
        <v>47</v>
      </c>
      <c r="E19" s="936"/>
      <c r="F19" s="936"/>
      <c r="G19" s="936"/>
      <c r="H19" s="61" t="s">
        <v>6</v>
      </c>
      <c r="I19" s="48" t="s">
        <v>8</v>
      </c>
      <c r="J19" s="362" t="s">
        <v>8</v>
      </c>
      <c r="K19" s="362" t="str">
        <f>IF(K18="","","g")</f>
        <v>g</v>
      </c>
      <c r="L19" s="362" t="s">
        <v>9</v>
      </c>
      <c r="M19" s="362" t="s">
        <v>9</v>
      </c>
      <c r="N19" s="362" t="s">
        <v>9</v>
      </c>
      <c r="O19" s="42" t="s">
        <v>9</v>
      </c>
      <c r="P19" s="362" t="s">
        <v>9</v>
      </c>
      <c r="Q19" s="362" t="s">
        <v>9</v>
      </c>
      <c r="R19" s="362" t="s">
        <v>9</v>
      </c>
      <c r="S19" s="362" t="s">
        <v>9</v>
      </c>
      <c r="T19" s="362" t="s">
        <v>9</v>
      </c>
      <c r="U19" s="42" t="s">
        <v>9</v>
      </c>
      <c r="V19" s="418" t="s">
        <v>4</v>
      </c>
      <c r="W19" s="419" t="s">
        <v>4</v>
      </c>
      <c r="X19" s="60"/>
      <c r="Y19" s="48" t="s">
        <v>8</v>
      </c>
      <c r="Z19" s="362" t="s">
        <v>8</v>
      </c>
      <c r="AA19" s="362" t="str">
        <f>K19</f>
        <v>g</v>
      </c>
      <c r="AB19" s="362" t="s">
        <v>9</v>
      </c>
      <c r="AC19" s="48" t="s">
        <v>9</v>
      </c>
      <c r="AD19" s="41" t="s">
        <v>9</v>
      </c>
      <c r="AE19" s="42" t="s">
        <v>9</v>
      </c>
      <c r="AF19" s="40" t="s">
        <v>9</v>
      </c>
      <c r="AG19" s="362" t="s">
        <v>9</v>
      </c>
      <c r="AH19" s="362" t="s">
        <v>9</v>
      </c>
      <c r="AI19" s="41" t="s">
        <v>9</v>
      </c>
      <c r="AJ19" s="362" t="s">
        <v>9</v>
      </c>
      <c r="AK19" s="42" t="s">
        <v>9</v>
      </c>
      <c r="AL19" s="418" t="s">
        <v>4</v>
      </c>
      <c r="AM19" s="384"/>
      <c r="AN19" s="585"/>
      <c r="AO19" s="585"/>
      <c r="AP19" s="585"/>
      <c r="AQ19" s="585"/>
      <c r="AR19" s="585"/>
      <c r="AS19" s="585"/>
      <c r="AT19" s="585"/>
      <c r="AU19" s="585"/>
      <c r="AV19" s="585"/>
      <c r="AW19" s="585"/>
      <c r="AX19" s="585"/>
      <c r="AY19" s="585"/>
      <c r="AZ19" s="585"/>
      <c r="BA19" s="585"/>
      <c r="BB19" s="585"/>
      <c r="BC19" s="585"/>
      <c r="BD19" s="585"/>
      <c r="BE19" s="585"/>
      <c r="BF19" s="585"/>
      <c r="BG19" s="585"/>
      <c r="BH19" s="585"/>
      <c r="BI19" s="585"/>
      <c r="BJ19" s="585"/>
      <c r="BK19" s="585"/>
      <c r="BL19" s="585"/>
      <c r="BM19" s="585"/>
      <c r="BN19" s="585"/>
      <c r="BO19" s="585"/>
      <c r="BP19" s="585"/>
      <c r="BQ19" s="585"/>
      <c r="BR19" s="585"/>
      <c r="BS19" s="585"/>
      <c r="BT19" s="585"/>
      <c r="BU19" s="585"/>
      <c r="BV19" s="585"/>
      <c r="BW19" s="585"/>
      <c r="BX19" s="585"/>
      <c r="BY19" s="585"/>
      <c r="BZ19" s="585"/>
      <c r="CA19" s="585"/>
      <c r="CB19" s="585"/>
      <c r="CC19" s="585"/>
      <c r="CD19" s="585"/>
      <c r="CE19" s="585"/>
      <c r="CF19" s="585"/>
      <c r="CG19" s="585"/>
      <c r="CH19" s="585"/>
      <c r="CI19" s="585"/>
      <c r="CJ19" s="585"/>
      <c r="CK19" s="585"/>
      <c r="CL19" s="585"/>
      <c r="CM19" s="585"/>
      <c r="CN19" s="585"/>
      <c r="CO19" s="585"/>
      <c r="CP19" s="585"/>
      <c r="CQ19" s="585"/>
      <c r="CR19" s="585"/>
      <c r="CS19" s="585"/>
      <c r="CT19" s="585"/>
      <c r="CU19" s="585"/>
      <c r="CV19" s="585"/>
      <c r="CW19" s="585"/>
      <c r="CX19" s="585"/>
      <c r="CY19" s="585"/>
      <c r="CZ19" s="585"/>
      <c r="DA19" s="585"/>
      <c r="DB19" s="585"/>
      <c r="DC19" s="585"/>
      <c r="DD19" s="585"/>
      <c r="DE19" s="585"/>
      <c r="DF19" s="585"/>
      <c r="DG19" s="585"/>
      <c r="DH19" s="585"/>
      <c r="DI19" s="585"/>
      <c r="DJ19" s="585"/>
      <c r="DK19" s="585"/>
      <c r="DL19" s="585"/>
      <c r="DM19" s="585"/>
      <c r="DN19" s="585"/>
      <c r="DO19" s="585"/>
      <c r="DP19" s="585"/>
      <c r="DQ19" s="585"/>
      <c r="DR19" s="585"/>
      <c r="DS19" s="585"/>
      <c r="DT19" s="585"/>
      <c r="DU19" s="585"/>
      <c r="DV19" s="585"/>
      <c r="DW19" s="585"/>
      <c r="DX19" s="585"/>
      <c r="DY19" s="585"/>
      <c r="DZ19" s="585"/>
      <c r="EA19" s="585"/>
      <c r="EB19" s="585"/>
      <c r="EC19" s="585"/>
      <c r="ED19" s="585"/>
      <c r="EE19" s="585"/>
      <c r="EF19" s="585"/>
      <c r="EG19" s="585"/>
      <c r="EH19" s="585"/>
      <c r="EI19" s="585"/>
      <c r="EJ19" s="585"/>
      <c r="EK19" s="585"/>
      <c r="EL19" s="585"/>
      <c r="EM19" s="585"/>
      <c r="EN19" s="585"/>
      <c r="EO19" s="585"/>
      <c r="EP19" s="585"/>
      <c r="EQ19" s="585"/>
      <c r="ER19" s="585"/>
      <c r="ES19" s="585"/>
      <c r="ET19" s="585"/>
      <c r="EU19" s="585"/>
      <c r="EV19" s="585"/>
      <c r="EW19" s="585"/>
      <c r="EX19" s="585"/>
      <c r="EY19" s="585"/>
      <c r="EZ19" s="585"/>
      <c r="FA19" s="585"/>
      <c r="FB19" s="585"/>
      <c r="FC19" s="585"/>
      <c r="FD19" s="585"/>
      <c r="FE19" s="585"/>
      <c r="FF19" s="585"/>
      <c r="FG19" s="585"/>
      <c r="FH19" s="585"/>
      <c r="FI19" s="585"/>
      <c r="FJ19" s="585"/>
      <c r="FK19" s="585"/>
      <c r="FL19" s="585"/>
      <c r="FM19" s="585"/>
      <c r="FN19" s="585"/>
      <c r="FO19" s="585"/>
      <c r="FP19" s="585"/>
      <c r="FQ19" s="585"/>
      <c r="FR19" s="585"/>
      <c r="FS19" s="585"/>
      <c r="FT19" s="585"/>
      <c r="FU19" s="585"/>
      <c r="FV19" s="585"/>
      <c r="FW19" s="585"/>
      <c r="FX19" s="585"/>
      <c r="FY19" s="585"/>
      <c r="FZ19" s="585"/>
      <c r="GA19" s="585"/>
      <c r="GB19" s="585"/>
      <c r="GC19" s="585"/>
      <c r="GD19" s="585"/>
      <c r="GE19" s="585"/>
      <c r="GF19" s="585"/>
      <c r="GG19" s="585"/>
      <c r="GH19" s="585"/>
      <c r="GI19" s="585"/>
      <c r="GJ19" s="585"/>
      <c r="GK19" s="585"/>
      <c r="GL19" s="585"/>
      <c r="GM19" s="585"/>
      <c r="GN19" s="585"/>
      <c r="GO19" s="585"/>
      <c r="GP19" s="585"/>
      <c r="GQ19" s="585"/>
      <c r="GR19" s="585"/>
      <c r="GS19" s="585"/>
      <c r="GT19" s="585"/>
      <c r="GU19" s="585"/>
      <c r="GV19" s="585"/>
      <c r="GW19" s="585"/>
      <c r="GX19" s="585"/>
      <c r="GY19" s="585"/>
      <c r="GZ19" s="585"/>
      <c r="HA19" s="585"/>
      <c r="HB19" s="585"/>
      <c r="HC19" s="585"/>
      <c r="HD19" s="585"/>
      <c r="HE19" s="585"/>
      <c r="HF19" s="585"/>
      <c r="HG19" s="585"/>
      <c r="HH19" s="585"/>
      <c r="HI19" s="585"/>
      <c r="HJ19" s="585"/>
      <c r="HK19" s="585"/>
      <c r="HL19" s="585"/>
      <c r="HM19" s="585"/>
      <c r="HN19" s="585"/>
      <c r="HO19" s="585"/>
      <c r="HP19" s="585"/>
      <c r="HQ19" s="585"/>
      <c r="HR19" s="585"/>
      <c r="HS19" s="585"/>
      <c r="HT19" s="585"/>
      <c r="HU19" s="585"/>
      <c r="HV19" s="585"/>
      <c r="HW19" s="585"/>
      <c r="HX19" s="585"/>
      <c r="HY19" s="585"/>
      <c r="HZ19" s="585"/>
      <c r="IA19" s="585"/>
      <c r="IB19" s="585"/>
      <c r="IC19" s="585"/>
      <c r="ID19" s="585"/>
      <c r="IE19" s="585"/>
      <c r="IF19" s="585"/>
      <c r="IG19" s="585"/>
      <c r="IH19" s="585"/>
      <c r="II19" s="585"/>
      <c r="IJ19" s="585"/>
      <c r="IK19" s="585"/>
      <c r="IL19" s="585"/>
      <c r="IM19" s="585"/>
      <c r="IN19" s="585"/>
      <c r="IO19" s="585"/>
      <c r="IP19" s="585"/>
      <c r="IQ19" s="585"/>
      <c r="IR19" s="585"/>
      <c r="IS19" s="585"/>
      <c r="IT19" s="585"/>
      <c r="IU19" s="585"/>
      <c r="IV19" s="585"/>
      <c r="IW19" s="585"/>
      <c r="IX19" s="585"/>
      <c r="IY19" s="585"/>
      <c r="IZ19" s="585"/>
      <c r="JA19" s="585"/>
      <c r="JB19" s="585"/>
      <c r="JC19" s="585"/>
      <c r="JD19" s="585"/>
      <c r="JE19" s="585"/>
      <c r="JF19" s="585"/>
      <c r="JG19" s="585"/>
      <c r="JH19" s="585"/>
      <c r="JI19" s="585"/>
      <c r="JJ19" s="585"/>
      <c r="JK19" s="585"/>
      <c r="JL19" s="585"/>
      <c r="JM19" s="585"/>
      <c r="JN19" s="585"/>
      <c r="JO19" s="585"/>
      <c r="JP19" s="585"/>
      <c r="JQ19" s="585"/>
      <c r="JR19" s="585"/>
      <c r="JS19" s="585"/>
      <c r="JT19" s="585"/>
      <c r="JU19" s="585"/>
      <c r="JV19" s="585"/>
      <c r="JW19" s="585"/>
      <c r="JX19" s="585"/>
      <c r="JY19" s="585"/>
      <c r="JZ19" s="585"/>
      <c r="KA19" s="585"/>
      <c r="KB19" s="585"/>
      <c r="KC19" s="585"/>
      <c r="KD19" s="585"/>
      <c r="KE19" s="585"/>
      <c r="KF19" s="585"/>
      <c r="KG19" s="585"/>
      <c r="KH19" s="585"/>
      <c r="KI19" s="585"/>
      <c r="KJ19" s="585"/>
      <c r="KK19" s="585"/>
      <c r="KL19" s="585"/>
      <c r="KM19" s="585"/>
      <c r="KN19" s="585"/>
      <c r="KO19" s="585"/>
      <c r="KP19" s="585"/>
      <c r="KQ19" s="585"/>
      <c r="KR19" s="585"/>
      <c r="KS19" s="585"/>
      <c r="KT19" s="585"/>
      <c r="KU19" s="585"/>
      <c r="KV19" s="585"/>
      <c r="KW19" s="585"/>
      <c r="KX19" s="585"/>
      <c r="KY19" s="585"/>
      <c r="KZ19" s="585"/>
      <c r="LA19" s="585"/>
      <c r="LB19" s="585"/>
      <c r="LC19" s="585"/>
      <c r="LD19" s="585"/>
      <c r="LE19" s="585"/>
      <c r="LF19" s="585"/>
      <c r="LG19" s="585"/>
      <c r="LH19" s="585"/>
      <c r="LI19" s="585"/>
      <c r="LJ19" s="585"/>
      <c r="LK19" s="585"/>
      <c r="LL19" s="585"/>
      <c r="LM19" s="585"/>
      <c r="LN19" s="585"/>
      <c r="LO19" s="585"/>
      <c r="LP19" s="585"/>
      <c r="LQ19" s="585"/>
    </row>
    <row r="20" spans="1:329" ht="18.75" customHeight="1" thickBot="1" x14ac:dyDescent="0.3">
      <c r="A20" s="314"/>
      <c r="B20" s="6">
        <v>0</v>
      </c>
      <c r="C20" s="304">
        <v>15</v>
      </c>
      <c r="D20" s="2">
        <f>INDEX(Tabelle,$C20,2)</f>
        <v>0</v>
      </c>
      <c r="E20" s="296"/>
      <c r="F20" s="297" t="str">
        <f>IF(INDEX(Tabelle,$C20,22)="","",1)</f>
        <v/>
      </c>
      <c r="G20" s="303" t="str">
        <f>IF(INDEX(Tabelle,$C20,1)="G","G",IF(INDEX(Tabelle,$C20,1)="SF","SF",IF(INDEX(Tabelle,$C20,1)="KF","KF","")))</f>
        <v/>
      </c>
      <c r="H20" s="39" t="str">
        <f>IF(OR(INDEX(Tabelle,$C20,3)="",INDEX(Tabelle,$C20,3)=0.0001),"",INDEX(Tabelle,$C20,3)/10)</f>
        <v/>
      </c>
      <c r="I20" s="430">
        <f>ROUND(IF(Art=1,INDEX(Tabelle,$C20,4),INDEX(Tabelle,$C20,4)),2)</f>
        <v>0</v>
      </c>
      <c r="J20" s="365">
        <f>ROUND(IF(Art=1,INDEX(Tabelle,$C20,5),INDEX(Tabelle,$C20,5)),2)</f>
        <v>0</v>
      </c>
      <c r="K20" s="566">
        <f>IF(Art=1,IF(OR(INDEX(Tabelle,$C20,12)="",INDEX(Tabelle,$C20,12)=0.0001),0,INDEX(Tabelle,$C20,12)),0)</f>
        <v>0</v>
      </c>
      <c r="L20" s="566">
        <f>IF(OR(INDEX(Tabelle,$C20,13)="",INDEX(Tabelle,$C20,13)=0.0001),0,INDEX(Tabelle,$C20,13))</f>
        <v>0</v>
      </c>
      <c r="M20" s="365">
        <f>IF(Art=1,ROUND(INDEX(Tabelle,$C20,17),0),0)</f>
        <v>0</v>
      </c>
      <c r="N20" s="365">
        <f>INDEX(Tabelle,$C20,18)</f>
        <v>0</v>
      </c>
      <c r="O20" s="513">
        <f>INDEX(Tabelle,$C20,25)</f>
        <v>0</v>
      </c>
      <c r="P20" s="566">
        <f>INDEX(Tabelle,$C20,19)</f>
        <v>0</v>
      </c>
      <c r="Q20" s="566">
        <f>INDEX(Tabelle,$C20,24)</f>
        <v>0</v>
      </c>
      <c r="R20" s="566">
        <f>INDEX(Tabelle,$C20,21)</f>
        <v>0</v>
      </c>
      <c r="S20" s="566">
        <f>INDEX(Tabelle,$C20,20)</f>
        <v>0</v>
      </c>
      <c r="T20" s="566">
        <f>INDEX(Tabelle,$C20,22)</f>
        <v>0</v>
      </c>
      <c r="U20" s="432">
        <f>INDEX(Tabelle,$C20,27)</f>
        <v>0</v>
      </c>
      <c r="V20" s="456">
        <f>IF(H20="",0,IF(TM_FM=2,B20,B20/H20*100))</f>
        <v>0</v>
      </c>
      <c r="W20" s="65">
        <f>IF(H20="",0,IF(TM_FM=1,B20,B20*H20/100))</f>
        <v>0</v>
      </c>
      <c r="X20" s="364">
        <f>IF(G20="G",W20,0)</f>
        <v>0</v>
      </c>
      <c r="Y20" s="66">
        <f>W20*I20</f>
        <v>0</v>
      </c>
      <c r="Z20" s="62">
        <f>W20*J20</f>
        <v>0</v>
      </c>
      <c r="AA20" s="364">
        <f>W20*K20</f>
        <v>0</v>
      </c>
      <c r="AB20" s="364">
        <f>+W20*L20</f>
        <v>0</v>
      </c>
      <c r="AC20" s="66">
        <f>+W20*M20</f>
        <v>0</v>
      </c>
      <c r="AD20" s="515">
        <f>IF(N20="-","k.A.",N20*$W20)</f>
        <v>0</v>
      </c>
      <c r="AE20" s="513">
        <f>+W20*O20</f>
        <v>0</v>
      </c>
      <c r="AF20" s="399">
        <f>+W20*P20</f>
        <v>0</v>
      </c>
      <c r="AG20" s="379">
        <f>+W20*Q20</f>
        <v>0</v>
      </c>
      <c r="AH20" s="379">
        <f>W20*R20</f>
        <v>0</v>
      </c>
      <c r="AI20" s="379">
        <f>W20*S20</f>
        <v>0</v>
      </c>
      <c r="AJ20" s="379">
        <f>W20*T20</f>
        <v>0</v>
      </c>
      <c r="AK20" s="469">
        <f>W20*U20</f>
        <v>0</v>
      </c>
      <c r="AL20" s="39">
        <f>IF(Tiere&gt;0,Tiere*V20,"")</f>
        <v>0</v>
      </c>
      <c r="AM20" s="384"/>
    </row>
    <row r="21" spans="1:329" ht="18.75" customHeight="1" thickBot="1" x14ac:dyDescent="0.3">
      <c r="A21" s="314"/>
      <c r="B21" s="9">
        <v>0</v>
      </c>
      <c r="C21" s="305">
        <v>15</v>
      </c>
      <c r="D21" s="3">
        <f>INDEX(Tabelle,$C21,2)</f>
        <v>0</v>
      </c>
      <c r="E21" s="298"/>
      <c r="F21" s="299" t="str">
        <f>IF(INDEX(Tabelle,$C21,22)="","",1)</f>
        <v/>
      </c>
      <c r="G21" s="303" t="str">
        <f>IF(INDEX(Tabelle,$C21,1)="G","G",IF(INDEX(Tabelle,$C21,1)="SF","SF",IF(INDEX(Tabelle,$C21,1)="KF","KF","")))</f>
        <v/>
      </c>
      <c r="H21" s="434" t="str">
        <f>IF(OR(INDEX(Tabelle,$C21,3)="",INDEX(Tabelle,$C21,3)=0.0001),"",INDEX(Tabelle,$C21,3)/10)</f>
        <v/>
      </c>
      <c r="I21" s="430">
        <f>ROUND(IF(Art=1,INDEX(Tabelle,$C21,4),INDEX(Tabelle,$C21,4)),2)</f>
        <v>0</v>
      </c>
      <c r="J21" s="365">
        <f>ROUND(IF(Art=1,INDEX(Tabelle,$C21,5),INDEX(Tabelle,$C21,5)),2)</f>
        <v>0</v>
      </c>
      <c r="K21" s="566">
        <f>IF(Art=1,IF(OR(INDEX(Tabelle,$C21,12)="",INDEX(Tabelle,$C21,12)=0.0001),0,INDEX(Tabelle,$C21,12)),0)</f>
        <v>0</v>
      </c>
      <c r="L21" s="566">
        <f>IF(OR(INDEX(Tabelle,$C21,13)="",INDEX(Tabelle,$C21,13)=0.0001),0,INDEX(Tabelle,$C21,13))</f>
        <v>0</v>
      </c>
      <c r="M21" s="365">
        <f>IF(Art=1,ROUND(INDEX(Tabelle,$C21,17),0),0)</f>
        <v>0</v>
      </c>
      <c r="N21" s="365">
        <f>INDEX(Tabelle,$C21,18)</f>
        <v>0</v>
      </c>
      <c r="O21" s="514">
        <f>INDEX(Tabelle,$C21,25)</f>
        <v>0</v>
      </c>
      <c r="P21" s="566">
        <f>INDEX(Tabelle,$C21,19)</f>
        <v>0</v>
      </c>
      <c r="Q21" s="566">
        <f>INDEX(Tabelle,$C21,24)</f>
        <v>0</v>
      </c>
      <c r="R21" s="566">
        <f>INDEX(Tabelle,$C21,21)</f>
        <v>0</v>
      </c>
      <c r="S21" s="566">
        <f>INDEX(Tabelle,$C21,20)</f>
        <v>0</v>
      </c>
      <c r="T21" s="566">
        <f>INDEX(Tabelle,$C21,22)</f>
        <v>0</v>
      </c>
      <c r="U21" s="432">
        <f>INDEX(Tabelle,$C21,27)</f>
        <v>0</v>
      </c>
      <c r="V21" s="457">
        <f>IF(H21="",0,IF(TM_FM=2,B21,B21/H21*100))</f>
        <v>0</v>
      </c>
      <c r="W21" s="65">
        <f>IF(H21="",0,IF(TM_FM=1,B21,B21*H21/100))</f>
        <v>0</v>
      </c>
      <c r="X21" s="364">
        <f>IF(G21="G",W21,0)</f>
        <v>0</v>
      </c>
      <c r="Y21" s="70">
        <f>W21*I21</f>
        <v>0</v>
      </c>
      <c r="Z21" s="71">
        <f>W21*J21</f>
        <v>0</v>
      </c>
      <c r="AA21" s="68">
        <f>W21*K21</f>
        <v>0</v>
      </c>
      <c r="AB21" s="68">
        <f>+W21*L21</f>
        <v>0</v>
      </c>
      <c r="AC21" s="521">
        <f>+W21*M21</f>
        <v>0</v>
      </c>
      <c r="AD21" s="516">
        <f>IF(N21="-","k.A.",N21*$W21)</f>
        <v>0</v>
      </c>
      <c r="AE21" s="514">
        <f t="shared" ref="AE21:AE23" si="2">+W21*O21</f>
        <v>0</v>
      </c>
      <c r="AF21" s="393">
        <f>+W21*P21</f>
        <v>0</v>
      </c>
      <c r="AG21" s="380">
        <f>+W21*Q21</f>
        <v>0</v>
      </c>
      <c r="AH21" s="379">
        <f t="shared" ref="AH21:AH24" si="3">W21*R21</f>
        <v>0</v>
      </c>
      <c r="AI21" s="380">
        <f>W21*S21</f>
        <v>0</v>
      </c>
      <c r="AJ21" s="470">
        <f>W21*T21</f>
        <v>0</v>
      </c>
      <c r="AK21" s="432">
        <f>W21*U21</f>
        <v>0</v>
      </c>
      <c r="AL21" s="434">
        <f>IF(Tiere&gt;0,Tiere*V21,"")</f>
        <v>0</v>
      </c>
      <c r="AM21" s="384"/>
    </row>
    <row r="22" spans="1:329" ht="18.75" customHeight="1" thickBot="1" x14ac:dyDescent="0.3">
      <c r="A22" s="314"/>
      <c r="B22" s="9">
        <v>0</v>
      </c>
      <c r="C22" s="305">
        <v>15</v>
      </c>
      <c r="D22" s="3">
        <f>INDEX(Tabelle,$C22,2)</f>
        <v>0</v>
      </c>
      <c r="E22" s="298"/>
      <c r="F22" s="299" t="str">
        <f>IF(INDEX(Tabelle,$C22,22)="","",1)</f>
        <v/>
      </c>
      <c r="G22" s="303" t="str">
        <f>IF(INDEX(Tabelle,$C22,1)="G","G",IF(INDEX(Tabelle,$C22,1)="SF","SF",IF(INDEX(Tabelle,$C22,1)="KF","KF","")))</f>
        <v/>
      </c>
      <c r="H22" s="434" t="str">
        <f>IF(OR(INDEX(Tabelle,$C22,3)="",INDEX(Tabelle,$C22,3)=0.0001),"",INDEX(Tabelle,$C22,3)/10)</f>
        <v/>
      </c>
      <c r="I22" s="430">
        <f>ROUND(IF(Art=1,INDEX(Tabelle,$C22,4),INDEX(Tabelle,$C22,4)),2)</f>
        <v>0</v>
      </c>
      <c r="J22" s="365">
        <f>ROUND(IF(Art=1,INDEX(Tabelle,$C22,5),INDEX(Tabelle,$C22,5)),2)</f>
        <v>0</v>
      </c>
      <c r="K22" s="566">
        <f>IF(Art=1,IF(OR(INDEX(Tabelle,$C22,12)="",INDEX(Tabelle,$C22,12)=0.0001),0,INDEX(Tabelle,$C22,12)),0)</f>
        <v>0</v>
      </c>
      <c r="L22" s="566">
        <f>IF(OR(INDEX(Tabelle,$C22,13)="",INDEX(Tabelle,$C22,13)=0.0001),0,INDEX(Tabelle,$C22,13))</f>
        <v>0</v>
      </c>
      <c r="M22" s="365">
        <f>IF(Art=1,ROUND(INDEX(Tabelle,$C22,17),0),0)</f>
        <v>0</v>
      </c>
      <c r="N22" s="365">
        <f>INDEX(Tabelle,$C22,18)</f>
        <v>0</v>
      </c>
      <c r="O22" s="514">
        <f>INDEX(Tabelle,$C22,25)</f>
        <v>0</v>
      </c>
      <c r="P22" s="566">
        <f>INDEX(Tabelle,$C22,19)</f>
        <v>0</v>
      </c>
      <c r="Q22" s="566">
        <f>INDEX(Tabelle,$C22,24)</f>
        <v>0</v>
      </c>
      <c r="R22" s="566">
        <f>INDEX(Tabelle,$C22,21)</f>
        <v>0</v>
      </c>
      <c r="S22" s="566">
        <f>INDEX(Tabelle,$C22,20)</f>
        <v>0</v>
      </c>
      <c r="T22" s="566">
        <f>INDEX(Tabelle,$C22,22)</f>
        <v>0</v>
      </c>
      <c r="U22" s="432">
        <f>INDEX(Tabelle,$C22,27)</f>
        <v>0</v>
      </c>
      <c r="V22" s="457">
        <f>IF(H22="",0,IF(TM_FM=2,B22,B22/H22*100))</f>
        <v>0</v>
      </c>
      <c r="W22" s="65">
        <f>IF(H22="",0,IF(TM_FM=1,B22,B22*H22/100))</f>
        <v>0</v>
      </c>
      <c r="X22" s="364">
        <f>IF(G22="G",W22,0)</f>
        <v>0</v>
      </c>
      <c r="Y22" s="70">
        <f>W22*I22</f>
        <v>0</v>
      </c>
      <c r="Z22" s="71">
        <f>W22*J22</f>
        <v>0</v>
      </c>
      <c r="AA22" s="68">
        <f>W22*K22</f>
        <v>0</v>
      </c>
      <c r="AB22" s="68">
        <f>+W22*L22</f>
        <v>0</v>
      </c>
      <c r="AC22" s="521">
        <f>+W22*M22</f>
        <v>0</v>
      </c>
      <c r="AD22" s="516">
        <f>IF(N22="-","k.A.",N22*$W22)</f>
        <v>0</v>
      </c>
      <c r="AE22" s="514">
        <f t="shared" si="2"/>
        <v>0</v>
      </c>
      <c r="AF22" s="393">
        <f>+W22*P22</f>
        <v>0</v>
      </c>
      <c r="AG22" s="380">
        <f>+W22*Q22</f>
        <v>0</v>
      </c>
      <c r="AH22" s="379">
        <f t="shared" si="3"/>
        <v>0</v>
      </c>
      <c r="AI22" s="380">
        <f t="shared" ref="AI22:AI24" si="4">W22*S22</f>
        <v>0</v>
      </c>
      <c r="AJ22" s="380">
        <f t="shared" ref="AJ22:AJ24" si="5">W22*T22</f>
        <v>0</v>
      </c>
      <c r="AK22" s="432">
        <f t="shared" ref="AK22:AK23" si="6">W22*U22</f>
        <v>0</v>
      </c>
      <c r="AL22" s="434">
        <f>IF(Tiere&gt;0,Tiere*V22,"")</f>
        <v>0</v>
      </c>
      <c r="AM22" s="384"/>
    </row>
    <row r="23" spans="1:329" ht="18.75" customHeight="1" thickBot="1" x14ac:dyDescent="0.3">
      <c r="A23" s="314"/>
      <c r="B23" s="9"/>
      <c r="C23" s="305">
        <v>21</v>
      </c>
      <c r="D23" s="3">
        <f>INDEX(Tabelle,$C23,2)</f>
        <v>0</v>
      </c>
      <c r="E23" s="298"/>
      <c r="F23" s="299" t="str">
        <f>IF(INDEX(Tabelle,$C23,22)="","",1)</f>
        <v/>
      </c>
      <c r="G23" s="303" t="str">
        <f>IF(INDEX(Tabelle,$C23,1)="G","G",IF(INDEX(Tabelle,$C23,1)="SF","SF",IF(INDEX(Tabelle,$C23,1)="KF","KF","")))</f>
        <v/>
      </c>
      <c r="H23" s="434" t="str">
        <f>IF(OR(INDEX(Tabelle,$C23,3)="",INDEX(Tabelle,$C23,3)=0.0001),"",INDEX(Tabelle,$C23,3)/10)</f>
        <v/>
      </c>
      <c r="I23" s="430">
        <f>ROUND(IF(Art=1,INDEX(Tabelle,$C23,4),INDEX(Tabelle,$C23,4)),2)</f>
        <v>0</v>
      </c>
      <c r="J23" s="365">
        <f>ROUND(IF(Art=1,INDEX(Tabelle,$C23,5),INDEX(Tabelle,$C23,5)),2)</f>
        <v>0</v>
      </c>
      <c r="K23" s="566">
        <f>IF(Art=1,IF(OR(INDEX(Tabelle,$C23,12)="",INDEX(Tabelle,$C23,12)=0.0001),0,INDEX(Tabelle,$C23,12)),0)</f>
        <v>0</v>
      </c>
      <c r="L23" s="566">
        <f>IF(OR(INDEX(Tabelle,$C23,13)="",INDEX(Tabelle,$C23,13)=0.0001),0,INDEX(Tabelle,$C23,13))</f>
        <v>0</v>
      </c>
      <c r="M23" s="365">
        <f>IF(Art=1,ROUND(INDEX(Tabelle,$C23,17),0),0)</f>
        <v>0</v>
      </c>
      <c r="N23" s="365">
        <f>INDEX(Tabelle,$C23,18)</f>
        <v>0</v>
      </c>
      <c r="O23" s="514">
        <f>INDEX(Tabelle,$C23,25)</f>
        <v>0</v>
      </c>
      <c r="P23" s="566">
        <f>INDEX(Tabelle,$C23,19)</f>
        <v>0</v>
      </c>
      <c r="Q23" s="566">
        <f>INDEX(Tabelle,$C23,24)</f>
        <v>0</v>
      </c>
      <c r="R23" s="566">
        <f>INDEX(Tabelle,$C23,21)</f>
        <v>0</v>
      </c>
      <c r="S23" s="566">
        <f>INDEX(Tabelle,$C23,20)</f>
        <v>0</v>
      </c>
      <c r="T23" s="566">
        <f>INDEX(Tabelle,$C23,22)</f>
        <v>0</v>
      </c>
      <c r="U23" s="432">
        <f>INDEX(Tabelle,$C23,27)</f>
        <v>0</v>
      </c>
      <c r="V23" s="457">
        <f>IF(H23="",0,IF(TM_FM=2,B23,B23/H23*100))</f>
        <v>0</v>
      </c>
      <c r="W23" s="65">
        <f>IF(H23="",0,IF(TM_FM=1,B23,B23*H23/100))</f>
        <v>0</v>
      </c>
      <c r="X23" s="364">
        <f>IF(G23="G",W23,0)</f>
        <v>0</v>
      </c>
      <c r="Y23" s="70">
        <f>W23*I23</f>
        <v>0</v>
      </c>
      <c r="Z23" s="71">
        <f>W23*J23</f>
        <v>0</v>
      </c>
      <c r="AA23" s="68">
        <f>W23*K23</f>
        <v>0</v>
      </c>
      <c r="AB23" s="68">
        <f>+W23*L23</f>
        <v>0</v>
      </c>
      <c r="AC23" s="521">
        <f>+W23*M23</f>
        <v>0</v>
      </c>
      <c r="AD23" s="516">
        <f>IF(N23="-","k.A.",N23*$W23)</f>
        <v>0</v>
      </c>
      <c r="AE23" s="514">
        <f t="shared" si="2"/>
        <v>0</v>
      </c>
      <c r="AF23" s="380">
        <f>+W23*P23</f>
        <v>0</v>
      </c>
      <c r="AG23" s="380">
        <f>+W23*Q23</f>
        <v>0</v>
      </c>
      <c r="AH23" s="379">
        <f>W23*R23</f>
        <v>0</v>
      </c>
      <c r="AI23" s="92">
        <f t="shared" si="4"/>
        <v>0</v>
      </c>
      <c r="AJ23" s="436">
        <f>W23*T23</f>
        <v>0</v>
      </c>
      <c r="AK23" s="441">
        <f t="shared" si="6"/>
        <v>0</v>
      </c>
      <c r="AL23" s="434">
        <f>IF(Tiere&gt;0,Tiere*V23,"")</f>
        <v>0</v>
      </c>
      <c r="AM23" s="384"/>
    </row>
    <row r="24" spans="1:329" ht="18.75" customHeight="1" thickBot="1" x14ac:dyDescent="0.3">
      <c r="A24" s="314"/>
      <c r="B24" s="7"/>
      <c r="C24" s="306">
        <v>15</v>
      </c>
      <c r="D24" s="4">
        <f>INDEX(Tabelle,$C24,2)</f>
        <v>0</v>
      </c>
      <c r="E24" s="300"/>
      <c r="F24" s="301" t="str">
        <f>IF(INDEX(Tabelle,$C24,22)="","",1)</f>
        <v/>
      </c>
      <c r="G24" s="303" t="str">
        <f>IF(INDEX(Tabelle,$C24,1)="G","G",IF(INDEX(Tabelle,$C24,1)="SF","SF",IF(INDEX(Tabelle,$C24,1)="KF","KF","")))</f>
        <v/>
      </c>
      <c r="H24" s="435" t="str">
        <f>IF(OR(INDEX(Tabelle,$C24,3)="",INDEX(Tabelle,$C24,3)=0.0001),"",INDEX(Tabelle,$C24,3)/10)</f>
        <v/>
      </c>
      <c r="I24" s="72">
        <f>ROUND(IF(Art=1,INDEX(Tabelle,$C24,4),INDEX(Tabelle,$C24,4)),2)</f>
        <v>0</v>
      </c>
      <c r="J24" s="73">
        <f>ROUND(IF(Art=1,INDEX(Tabelle,$C24,5),INDEX(Tabelle,$C24,5)),2)</f>
        <v>0</v>
      </c>
      <c r="K24" s="366">
        <f>IF(Art=1,IF(OR(INDEX(Tabelle,$C24,12)="",INDEX(Tabelle,$C24,12)=0.0001),0,INDEX(Tabelle,$C24,12)),0)</f>
        <v>0</v>
      </c>
      <c r="L24" s="366">
        <f>IF(OR(INDEX(Tabelle,$C24,13)="",INDEX(Tabelle,$C24,13)=0.0001),0,INDEX(Tabelle,$C24,13))</f>
        <v>0</v>
      </c>
      <c r="M24" s="73">
        <f>IF(Art=1,ROUND(INDEX(Tabelle,$C24,17),0),0)</f>
        <v>0</v>
      </c>
      <c r="N24" s="73">
        <f>INDEX(Tabelle,$C24,18)</f>
        <v>0</v>
      </c>
      <c r="O24" s="895">
        <f>INDEX(Tabelle,$C24,25)</f>
        <v>0</v>
      </c>
      <c r="P24" s="366">
        <f>INDEX(Tabelle,$C24,19)</f>
        <v>0</v>
      </c>
      <c r="Q24" s="366">
        <f>INDEX(Tabelle,$C24,24)</f>
        <v>0</v>
      </c>
      <c r="R24" s="366">
        <f>INDEX(Tabelle,$C24,21)</f>
        <v>0</v>
      </c>
      <c r="S24" s="366">
        <f>INDEX(Tabelle,$C24,20)</f>
        <v>0</v>
      </c>
      <c r="T24" s="366">
        <f>INDEX(Tabelle,$C24,22)</f>
        <v>0</v>
      </c>
      <c r="U24" s="433">
        <f>INDEX(Tabelle,$C24,27)</f>
        <v>0</v>
      </c>
      <c r="V24" s="458">
        <f>IF(H24="",0,IF(TM_FM=2,B24,B24/H24*100))</f>
        <v>0</v>
      </c>
      <c r="W24" s="75">
        <f>IF(H24="",0,IF(TM_FM=1,B24,B24*H24/100))</f>
        <v>0</v>
      </c>
      <c r="X24" s="364">
        <f>IF(G24="G",W24,0)</f>
        <v>0</v>
      </c>
      <c r="Y24" s="76">
        <f>W24*I24</f>
        <v>0</v>
      </c>
      <c r="Z24" s="73">
        <f>W24*J24</f>
        <v>0</v>
      </c>
      <c r="AA24" s="366">
        <f>W24*K24</f>
        <v>0</v>
      </c>
      <c r="AB24" s="366">
        <f>+W24*L24</f>
        <v>0</v>
      </c>
      <c r="AC24" s="76">
        <f>+W24*M24</f>
        <v>0</v>
      </c>
      <c r="AD24" s="517">
        <f>IF(N24="-","k.A.",N24*$W24)</f>
        <v>0</v>
      </c>
      <c r="AE24" s="895">
        <f>+W24*O24</f>
        <v>0</v>
      </c>
      <c r="AF24" s="379">
        <f>+W24*P24</f>
        <v>0</v>
      </c>
      <c r="AG24" s="92">
        <f>+W24*Q24</f>
        <v>0</v>
      </c>
      <c r="AH24" s="379">
        <f t="shared" si="3"/>
        <v>0</v>
      </c>
      <c r="AI24" s="92">
        <f t="shared" si="4"/>
        <v>0</v>
      </c>
      <c r="AJ24" s="436">
        <f t="shared" si="5"/>
        <v>0</v>
      </c>
      <c r="AK24" s="441">
        <f>W24*U24</f>
        <v>0</v>
      </c>
      <c r="AL24" s="435">
        <f>IF(Tiere&gt;0,Tiere*V24,"")</f>
        <v>0</v>
      </c>
      <c r="AM24" s="384"/>
    </row>
    <row r="25" spans="1:329" ht="17.25" customHeight="1" thickBot="1" x14ac:dyDescent="0.3">
      <c r="A25" s="314"/>
      <c r="B25" s="315"/>
      <c r="C25" s="315"/>
      <c r="D25" s="315"/>
      <c r="E25" s="315"/>
      <c r="F25" s="316"/>
      <c r="G25" s="317"/>
      <c r="H25" s="687"/>
      <c r="I25" s="318"/>
      <c r="J25" s="318"/>
      <c r="K25" s="318"/>
      <c r="L25" s="318"/>
      <c r="M25" s="318"/>
      <c r="N25" s="318"/>
      <c r="O25" s="318"/>
      <c r="P25" s="688"/>
      <c r="Q25" s="688"/>
      <c r="R25" s="688"/>
      <c r="S25" s="688"/>
      <c r="T25" s="688"/>
      <c r="U25" s="689"/>
      <c r="V25" s="472">
        <f>SUM(V20:V24)</f>
        <v>0</v>
      </c>
      <c r="W25" s="407">
        <f>SUM(W20:W24)</f>
        <v>0</v>
      </c>
      <c r="X25" s="80"/>
      <c r="Y25" s="447">
        <f>SUM(Y20:Y24)</f>
        <v>0</v>
      </c>
      <c r="Z25" s="81">
        <f t="shared" ref="Z25:AI25" si="7">SUM(Z20:Z24)</f>
        <v>0</v>
      </c>
      <c r="AA25" s="448">
        <f t="shared" si="7"/>
        <v>0</v>
      </c>
      <c r="AB25" s="81">
        <f>SUM(AB20:AB24)</f>
        <v>0</v>
      </c>
      <c r="AC25" s="455">
        <f>SUM(AC20:AC24)</f>
        <v>0</v>
      </c>
      <c r="AD25" s="518">
        <f>SUM(AD20:AD24)</f>
        <v>0</v>
      </c>
      <c r="AE25" s="43">
        <f>SUM(AE20:AE24)</f>
        <v>0</v>
      </c>
      <c r="AF25" s="429">
        <f t="shared" si="7"/>
        <v>0</v>
      </c>
      <c r="AG25" s="81">
        <f t="shared" si="7"/>
        <v>0</v>
      </c>
      <c r="AH25" s="81">
        <f>SUM(AH20:AH24)</f>
        <v>0</v>
      </c>
      <c r="AI25" s="81">
        <f t="shared" si="7"/>
        <v>0</v>
      </c>
      <c r="AJ25" s="437">
        <f>SUM(AJ20:AJ24)</f>
        <v>0</v>
      </c>
      <c r="AK25" s="43">
        <f>SUM(AK20:AK24)</f>
        <v>0</v>
      </c>
      <c r="AL25" s="454">
        <f>SUM(AL20:AL24)</f>
        <v>0</v>
      </c>
      <c r="AM25" s="384"/>
    </row>
    <row r="26" spans="1:329" ht="29.15" customHeight="1" thickBot="1" x14ac:dyDescent="0.3">
      <c r="A26" s="319"/>
      <c r="B26" s="320"/>
      <c r="C26" s="321"/>
      <c r="D26" s="929" t="s">
        <v>56</v>
      </c>
      <c r="E26" s="930"/>
      <c r="F26" s="930"/>
      <c r="G26" s="931"/>
      <c r="H26" s="687"/>
      <c r="I26" s="318"/>
      <c r="J26" s="318"/>
      <c r="K26" s="318"/>
      <c r="L26" s="322"/>
      <c r="M26" s="318"/>
      <c r="N26" s="318"/>
      <c r="O26" s="318"/>
      <c r="P26" s="322"/>
      <c r="Q26" s="688"/>
      <c r="R26" s="688"/>
      <c r="S26" s="688"/>
      <c r="T26" s="688"/>
      <c r="U26" s="688"/>
      <c r="V26" s="473" t="s">
        <v>54</v>
      </c>
      <c r="W26" s="439" t="str">
        <f>IF(W25=0,"",TM_GF/V25)</f>
        <v/>
      </c>
      <c r="X26" s="84"/>
      <c r="Y26" s="85" t="str">
        <f>IF($W$25&gt;0,Y25/TM_GF,"")</f>
        <v/>
      </c>
      <c r="Z26" s="86" t="str">
        <f>IF($W$25&gt;0,Z25/TM_GF,"")</f>
        <v/>
      </c>
      <c r="AA26" s="86" t="str">
        <f>IF($W$25&gt;0,AA25/TM_GF,"")</f>
        <v/>
      </c>
      <c r="AB26" s="86" t="str">
        <f t="shared" ref="AB26" si="8">IF($W$25&gt;0,AB25/TM_GF,"")</f>
        <v/>
      </c>
      <c r="AC26" s="87" t="str">
        <f>IF($W$25&gt;0,AC25/TM_GF,"")</f>
        <v/>
      </c>
      <c r="AD26" s="519" t="str">
        <f>IF($W$25&gt;0,AD25/TM_GF,"")</f>
        <v/>
      </c>
      <c r="AE26" s="52"/>
      <c r="AF26" s="52"/>
      <c r="AG26" s="51"/>
      <c r="AH26" s="51"/>
      <c r="AI26" s="51"/>
      <c r="AJ26" s="51"/>
      <c r="AK26" s="51"/>
      <c r="AL26" s="385"/>
      <c r="AM26" s="384"/>
    </row>
    <row r="27" spans="1:329" s="406" customFormat="1" ht="29.15" customHeight="1" thickBot="1" x14ac:dyDescent="0.3">
      <c r="A27" s="307"/>
      <c r="B27" s="400"/>
      <c r="C27" s="400"/>
      <c r="D27" s="932"/>
      <c r="E27" s="933"/>
      <c r="F27" s="933"/>
      <c r="G27" s="934"/>
      <c r="H27" s="401"/>
      <c r="I27" s="402"/>
      <c r="J27" s="402"/>
      <c r="K27" s="402"/>
      <c r="L27" s="403"/>
      <c r="M27" s="403"/>
      <c r="N27" s="404"/>
      <c r="O27" s="403"/>
      <c r="P27" s="403"/>
      <c r="Q27" s="403"/>
      <c r="R27" s="403"/>
      <c r="S27" s="403"/>
      <c r="T27" s="403"/>
      <c r="U27" s="403"/>
      <c r="V27" s="402"/>
      <c r="W27" s="405"/>
      <c r="X27" s="405"/>
      <c r="Y27" s="402"/>
      <c r="Z27" s="402"/>
      <c r="AA27" s="400"/>
      <c r="AB27" s="404"/>
      <c r="AC27" s="404"/>
      <c r="AD27" s="520"/>
      <c r="AE27" s="683"/>
      <c r="AF27" s="400"/>
      <c r="AG27" s="690"/>
      <c r="AH27" s="690"/>
      <c r="AI27" s="690"/>
      <c r="AJ27" s="690"/>
      <c r="AK27" s="690"/>
      <c r="AL27" s="400"/>
      <c r="AM27" s="383"/>
      <c r="AN27" s="691"/>
      <c r="AO27" s="691"/>
      <c r="AP27" s="691"/>
      <c r="AQ27" s="691"/>
      <c r="AR27" s="691"/>
      <c r="AS27" s="691"/>
      <c r="AT27" s="691"/>
      <c r="AU27" s="691"/>
      <c r="AV27" s="691"/>
      <c r="AW27" s="691"/>
      <c r="AX27" s="691"/>
      <c r="AY27" s="691"/>
      <c r="AZ27" s="691"/>
      <c r="BA27" s="691"/>
      <c r="BB27" s="691"/>
      <c r="BC27" s="691"/>
      <c r="BD27" s="691"/>
      <c r="BE27" s="691"/>
      <c r="BF27" s="691"/>
      <c r="BG27" s="692"/>
      <c r="BH27" s="692"/>
      <c r="BI27" s="692"/>
      <c r="BJ27" s="692"/>
      <c r="BK27" s="692"/>
      <c r="BL27" s="692"/>
      <c r="BM27" s="692"/>
      <c r="BN27" s="692"/>
      <c r="BO27" s="692"/>
      <c r="BP27" s="692"/>
      <c r="BQ27" s="692"/>
      <c r="BR27" s="692"/>
      <c r="BS27" s="692"/>
      <c r="BT27" s="692"/>
      <c r="BU27" s="692"/>
      <c r="BV27" s="692"/>
      <c r="BW27" s="692"/>
      <c r="BX27" s="692"/>
      <c r="BY27" s="692"/>
      <c r="BZ27" s="692"/>
      <c r="CA27" s="692"/>
      <c r="CB27" s="692"/>
      <c r="CC27" s="692"/>
      <c r="CD27" s="692"/>
      <c r="CE27" s="692"/>
      <c r="CF27" s="692"/>
      <c r="CG27" s="692"/>
      <c r="CH27" s="692"/>
      <c r="CI27" s="692"/>
      <c r="CJ27" s="692"/>
      <c r="CK27" s="692"/>
      <c r="CL27" s="692"/>
      <c r="CM27" s="692"/>
      <c r="CN27" s="692"/>
      <c r="CO27" s="692"/>
      <c r="CP27" s="692"/>
      <c r="CQ27" s="692"/>
      <c r="CR27" s="692"/>
      <c r="CS27" s="692"/>
      <c r="CT27" s="692"/>
      <c r="CU27" s="692"/>
      <c r="CV27" s="692"/>
      <c r="CW27" s="692"/>
      <c r="CX27" s="692"/>
      <c r="CY27" s="692"/>
      <c r="CZ27" s="692"/>
      <c r="DA27" s="692"/>
      <c r="DB27" s="692"/>
      <c r="DC27" s="692"/>
      <c r="DD27" s="692"/>
      <c r="DE27" s="692"/>
      <c r="DF27" s="692"/>
      <c r="DG27" s="692"/>
      <c r="DH27" s="692"/>
      <c r="DI27" s="692"/>
      <c r="DJ27" s="692"/>
      <c r="DK27" s="692"/>
      <c r="DL27" s="692"/>
      <c r="DM27" s="692"/>
      <c r="DN27" s="692"/>
      <c r="DO27" s="692"/>
      <c r="DP27" s="692"/>
      <c r="DQ27" s="692"/>
      <c r="DR27" s="692"/>
      <c r="DS27" s="692"/>
      <c r="DT27" s="692"/>
      <c r="DU27" s="692"/>
      <c r="DV27" s="692"/>
      <c r="DW27" s="692"/>
      <c r="DX27" s="692"/>
      <c r="DY27" s="692"/>
      <c r="DZ27" s="692"/>
      <c r="EA27" s="692"/>
      <c r="EB27" s="692"/>
      <c r="EC27" s="692"/>
      <c r="ED27" s="692"/>
      <c r="EE27" s="692"/>
      <c r="EF27" s="692"/>
      <c r="EG27" s="692"/>
      <c r="EH27" s="692"/>
      <c r="EI27" s="692"/>
      <c r="EJ27" s="692"/>
      <c r="EK27" s="692"/>
      <c r="EL27" s="692"/>
      <c r="EM27" s="692"/>
      <c r="EN27" s="692"/>
      <c r="EO27" s="692"/>
      <c r="EP27" s="692"/>
      <c r="EQ27" s="692"/>
      <c r="ER27" s="692"/>
      <c r="ES27" s="692"/>
      <c r="ET27" s="692"/>
      <c r="EU27" s="692"/>
      <c r="EV27" s="692"/>
      <c r="EW27" s="692"/>
      <c r="EX27" s="692"/>
      <c r="EY27" s="692"/>
      <c r="EZ27" s="692"/>
      <c r="FA27" s="692"/>
      <c r="FB27" s="692"/>
      <c r="FC27" s="692"/>
      <c r="FD27" s="692"/>
      <c r="FE27" s="692"/>
      <c r="FF27" s="692"/>
      <c r="FG27" s="692"/>
      <c r="FH27" s="692"/>
      <c r="FI27" s="692"/>
      <c r="FJ27" s="692"/>
      <c r="FK27" s="692"/>
      <c r="FL27" s="692"/>
      <c r="FM27" s="692"/>
      <c r="FN27" s="692"/>
      <c r="FO27" s="692"/>
      <c r="FP27" s="692"/>
      <c r="FQ27" s="692"/>
      <c r="FR27" s="692"/>
      <c r="FS27" s="692"/>
      <c r="FT27" s="692"/>
      <c r="FU27" s="692"/>
      <c r="FV27" s="692"/>
      <c r="FW27" s="692"/>
      <c r="FX27" s="692"/>
      <c r="FY27" s="692"/>
      <c r="FZ27" s="692"/>
      <c r="GA27" s="692"/>
      <c r="GB27" s="692"/>
      <c r="GC27" s="692"/>
      <c r="GD27" s="692"/>
      <c r="GE27" s="692"/>
      <c r="GF27" s="692"/>
      <c r="GG27" s="692"/>
      <c r="GH27" s="692"/>
      <c r="GI27" s="692"/>
      <c r="GJ27" s="692"/>
      <c r="GK27" s="692"/>
      <c r="GL27" s="692"/>
      <c r="GM27" s="692"/>
      <c r="GN27" s="692"/>
      <c r="GO27" s="692"/>
      <c r="GP27" s="692"/>
      <c r="GQ27" s="692"/>
      <c r="GR27" s="692"/>
      <c r="GS27" s="692"/>
      <c r="GT27" s="692"/>
      <c r="GU27" s="692"/>
      <c r="GV27" s="692"/>
      <c r="GW27" s="692"/>
      <c r="GX27" s="692"/>
      <c r="GY27" s="692"/>
      <c r="GZ27" s="692"/>
      <c r="HA27" s="692"/>
      <c r="HB27" s="692"/>
      <c r="HC27" s="692"/>
      <c r="HD27" s="692"/>
      <c r="HE27" s="692"/>
      <c r="HF27" s="692"/>
      <c r="HG27" s="692"/>
      <c r="HH27" s="692"/>
      <c r="HI27" s="692"/>
      <c r="HJ27" s="692"/>
      <c r="HK27" s="692"/>
      <c r="HL27" s="692"/>
      <c r="HM27" s="692"/>
      <c r="HN27" s="692"/>
      <c r="HO27" s="692"/>
      <c r="HP27" s="692"/>
      <c r="HQ27" s="692"/>
      <c r="HR27" s="692"/>
      <c r="HS27" s="692"/>
      <c r="HT27" s="692"/>
      <c r="HU27" s="692"/>
      <c r="HV27" s="692"/>
      <c r="HW27" s="692"/>
      <c r="HX27" s="692"/>
      <c r="HY27" s="692"/>
      <c r="HZ27" s="692"/>
      <c r="IA27" s="692"/>
      <c r="IB27" s="692"/>
      <c r="IC27" s="692"/>
      <c r="ID27" s="692"/>
      <c r="IE27" s="692"/>
      <c r="IF27" s="692"/>
      <c r="IG27" s="692"/>
      <c r="IH27" s="692"/>
      <c r="II27" s="692"/>
      <c r="IJ27" s="692"/>
      <c r="IK27" s="692"/>
      <c r="IL27" s="692"/>
      <c r="IM27" s="692"/>
      <c r="IN27" s="692"/>
      <c r="IO27" s="692"/>
      <c r="IP27" s="692"/>
      <c r="IQ27" s="692"/>
      <c r="IR27" s="692"/>
      <c r="IS27" s="692"/>
      <c r="IT27" s="692"/>
      <c r="IU27" s="692"/>
      <c r="IV27" s="692"/>
      <c r="IW27" s="692"/>
      <c r="IX27" s="692"/>
      <c r="IY27" s="692"/>
      <c r="IZ27" s="692"/>
      <c r="JA27" s="692"/>
      <c r="JB27" s="692"/>
      <c r="JC27" s="692"/>
      <c r="JD27" s="692"/>
      <c r="JE27" s="692"/>
      <c r="JF27" s="692"/>
      <c r="JG27" s="692"/>
      <c r="JH27" s="692"/>
      <c r="JI27" s="692"/>
      <c r="JJ27" s="692"/>
      <c r="JK27" s="692"/>
      <c r="JL27" s="692"/>
      <c r="JM27" s="692"/>
      <c r="JN27" s="692"/>
      <c r="JO27" s="692"/>
      <c r="JP27" s="692"/>
      <c r="JQ27" s="692"/>
      <c r="JR27" s="692"/>
      <c r="JS27" s="692"/>
      <c r="JT27" s="692"/>
      <c r="JU27" s="692"/>
      <c r="JV27" s="692"/>
      <c r="JW27" s="692"/>
      <c r="JX27" s="692"/>
      <c r="JY27" s="692"/>
      <c r="JZ27" s="692"/>
      <c r="KA27" s="692"/>
      <c r="KB27" s="692"/>
      <c r="KC27" s="692"/>
      <c r="KD27" s="692"/>
      <c r="KE27" s="692"/>
      <c r="KF27" s="692"/>
      <c r="KG27" s="692"/>
      <c r="KH27" s="692"/>
      <c r="KI27" s="692"/>
      <c r="KJ27" s="692"/>
      <c r="KK27" s="692"/>
      <c r="KL27" s="692"/>
      <c r="KM27" s="692"/>
      <c r="KN27" s="692"/>
      <c r="KO27" s="692"/>
      <c r="KP27" s="692"/>
      <c r="KQ27" s="692"/>
      <c r="KR27" s="692"/>
      <c r="KS27" s="692"/>
      <c r="KT27" s="692"/>
      <c r="KU27" s="692"/>
      <c r="KV27" s="692"/>
      <c r="KW27" s="692"/>
      <c r="KX27" s="692"/>
      <c r="KY27" s="692"/>
      <c r="KZ27" s="692"/>
      <c r="LA27" s="692"/>
      <c r="LB27" s="692"/>
      <c r="LC27" s="692"/>
      <c r="LD27" s="692"/>
      <c r="LE27" s="692"/>
      <c r="LF27" s="692"/>
      <c r="LG27" s="692"/>
      <c r="LH27" s="692"/>
      <c r="LI27" s="692"/>
      <c r="LJ27" s="692"/>
      <c r="LK27" s="692"/>
      <c r="LL27" s="692"/>
      <c r="LM27" s="692"/>
      <c r="LN27" s="692"/>
      <c r="LO27" s="692"/>
      <c r="LP27" s="692"/>
      <c r="LQ27" s="692"/>
    </row>
    <row r="28" spans="1:329" ht="18" customHeight="1" thickBot="1" x14ac:dyDescent="0.3">
      <c r="A28" s="314"/>
      <c r="B28" s="8">
        <v>0</v>
      </c>
      <c r="C28" s="327">
        <v>31</v>
      </c>
      <c r="D28" s="395">
        <f>INDEX(Tabelle,$C28,2)</f>
        <v>0</v>
      </c>
      <c r="E28" s="396"/>
      <c r="F28" s="397" t="str">
        <f>IF(INDEX(Tabelle,$C28,22)="","",1)</f>
        <v/>
      </c>
      <c r="G28" s="398" t="str">
        <f>IF(INDEX(Tabelle,$C28,1)="G","G",IF(INDEX(Tabelle,$C28,1)="SF","SF",IF(INDEX(Tabelle,$C28,1)="KF","KF","")))</f>
        <v/>
      </c>
      <c r="H28" s="399" t="str">
        <f>IF(OR(INDEX(Tabelle,$C28,3)="",INDEX(Tabelle,$C28,3)=0.0001),"",INDEX(Tabelle,$C28,3)/10)</f>
        <v/>
      </c>
      <c r="I28" s="93">
        <f>ROUND(IF(Art=1,INDEX(Tabelle,$C28,4),INDEX(Tabelle,$C28,4)),2)</f>
        <v>0</v>
      </c>
      <c r="J28" s="93">
        <f>ROUND(IF(Art=1,INDEX(Tabelle,$C28,5),INDEX(Tabelle,$C28,5)),2)</f>
        <v>0</v>
      </c>
      <c r="K28" s="92">
        <f>IF(Art=1,IF(OR(INDEX(Tabelle,$C28,12)="",INDEX(Tabelle,$C28,12)=0.0001),0,INDEX(Tabelle,$C28,12)),0)</f>
        <v>0</v>
      </c>
      <c r="L28" s="92">
        <f>IF(OR(INDEX(Tabelle,$C28,13)="",INDEX(Tabelle,$C28,13)=0.0001),0,INDEX(Tabelle,$C28,13))</f>
        <v>0</v>
      </c>
      <c r="M28" s="93">
        <f>IF(Art=1,ROUND(INDEX(Tabelle,$C28,17),0),0)</f>
        <v>0</v>
      </c>
      <c r="N28" s="62">
        <f>INDEX(Tabelle,$C28,18)</f>
        <v>0</v>
      </c>
      <c r="O28" s="513">
        <f>INDEX(Tabelle,$C28,25)</f>
        <v>0</v>
      </c>
      <c r="P28" s="92">
        <f>INDEX(Tabelle,$C28,19)</f>
        <v>0</v>
      </c>
      <c r="Q28" s="92">
        <f>INDEX(Tabelle,$C28,24)</f>
        <v>0</v>
      </c>
      <c r="R28" s="92">
        <f>INDEX(Tabelle,$C28,21)</f>
        <v>0</v>
      </c>
      <c r="S28" s="92">
        <f>INDEX(Tabelle,$C28,20)</f>
        <v>0</v>
      </c>
      <c r="T28" s="92">
        <f>INDEX(Tabelle,$C28,22)</f>
        <v>0</v>
      </c>
      <c r="U28" s="92">
        <f>INDEX(Tabelle,$C28,27)</f>
        <v>0</v>
      </c>
      <c r="V28" s="89">
        <f>IF(H28="",0,IF(TM_FM=2,B28,B28/H28*100))</f>
        <v>0</v>
      </c>
      <c r="W28" s="90">
        <f>IF(H28="",0,IF(TM_FM=1,B28,B28*H28/100))</f>
        <v>0</v>
      </c>
      <c r="X28" s="92">
        <f>IF(G28="G",W28,0)</f>
        <v>0</v>
      </c>
      <c r="Y28" s="91">
        <f>W28*I28</f>
        <v>0</v>
      </c>
      <c r="Z28" s="93">
        <f>W28*J28</f>
        <v>0</v>
      </c>
      <c r="AA28" s="92">
        <f>W28*K28</f>
        <v>0</v>
      </c>
      <c r="AB28" s="92">
        <f>+W28*L28</f>
        <v>0</v>
      </c>
      <c r="AC28" s="896">
        <f>+W28*M28</f>
        <v>0</v>
      </c>
      <c r="AD28" s="93">
        <f>IF(N28="-","k.A.",N28*$W28)</f>
        <v>0</v>
      </c>
      <c r="AE28" s="913">
        <f>+W28*O28</f>
        <v>0</v>
      </c>
      <c r="AF28" s="379">
        <f>+W28*P28</f>
        <v>0</v>
      </c>
      <c r="AG28" s="92">
        <f>+W28*Q28</f>
        <v>0</v>
      </c>
      <c r="AH28" s="92">
        <f>W28*R28</f>
        <v>0</v>
      </c>
      <c r="AI28" s="92">
        <f>+W28*S28</f>
        <v>0</v>
      </c>
      <c r="AJ28" s="92">
        <f>W28*T28</f>
        <v>0</v>
      </c>
      <c r="AK28" s="431">
        <f>+W28*U28</f>
        <v>0</v>
      </c>
      <c r="AL28" s="39">
        <f>IF(Tiere&gt;0,Tiere*V28,"")</f>
        <v>0</v>
      </c>
      <c r="AM28" s="659" t="str">
        <f>IF(B28="","",IF(COUNTIF(H28:N28,0)&gt;0,"?",""))</f>
        <v>?</v>
      </c>
      <c r="AN28" s="691"/>
      <c r="AO28" s="691"/>
      <c r="AP28" s="691"/>
      <c r="AQ28" s="691"/>
      <c r="AR28" s="691"/>
      <c r="AS28" s="691"/>
      <c r="AT28" s="691"/>
      <c r="AU28" s="691"/>
      <c r="AV28" s="691"/>
      <c r="AW28" s="691"/>
      <c r="AX28" s="691"/>
      <c r="AY28" s="691"/>
      <c r="AZ28" s="691"/>
      <c r="BA28" s="691"/>
      <c r="BB28" s="691"/>
      <c r="BC28" s="691"/>
      <c r="BD28" s="691"/>
      <c r="BE28" s="691"/>
      <c r="BF28" s="691"/>
    </row>
    <row r="29" spans="1:329" ht="18.75" customHeight="1" thickBot="1" x14ac:dyDescent="0.3">
      <c r="A29" s="314"/>
      <c r="B29" s="9">
        <v>0</v>
      </c>
      <c r="C29" s="325">
        <v>15</v>
      </c>
      <c r="D29" s="3">
        <f>INDEX(Tabelle,$C29,2)</f>
        <v>0</v>
      </c>
      <c r="E29" s="326"/>
      <c r="F29" s="299" t="str">
        <f>IF(INDEX(Tabelle,$C29,22)="","",1)</f>
        <v/>
      </c>
      <c r="G29" s="398" t="str">
        <f>IF(INDEX(Tabelle,$C29,1)="G","G",IF(INDEX(Tabelle,$C29,1)="SF","SF",IF(INDEX(Tabelle,$C29,1)="KF","KF","")))</f>
        <v/>
      </c>
      <c r="H29" s="92" t="str">
        <f>IF(OR(INDEX(Tabelle,$C29,3)="",INDEX(Tabelle,$C29,3)=0.0001),"",INDEX(Tabelle,$C29,3)/10)</f>
        <v/>
      </c>
      <c r="I29" s="93">
        <f>ROUND(IF(Art=1,INDEX(Tabelle,$C29,4),INDEX(Tabelle,$C29,4)),2)</f>
        <v>0</v>
      </c>
      <c r="J29" s="93">
        <f>ROUND(IF(Art=1,INDEX(Tabelle,$C29,5),INDEX(Tabelle,$C29,5)),2)</f>
        <v>0</v>
      </c>
      <c r="K29" s="92">
        <f>IF(Art=1,IF(OR(INDEX(Tabelle,$C29,12)="",INDEX(Tabelle,$C29,12)=0.0001),0,INDEX(Tabelle,$C29,12)),0)</f>
        <v>0</v>
      </c>
      <c r="L29" s="92">
        <f>IF(OR(INDEX(Tabelle,$C29,13)="",INDEX(Tabelle,$C29,13)=0.0001),0,INDEX(Tabelle,$C29,13))</f>
        <v>0</v>
      </c>
      <c r="M29" s="93">
        <f>IF(Art=1,ROUND(INDEX(Tabelle,$C29,17),0),0)</f>
        <v>0</v>
      </c>
      <c r="N29" s="93">
        <f>INDEX(Tabelle,$C29,18)</f>
        <v>0</v>
      </c>
      <c r="O29" s="514">
        <f>INDEX(Tabelle,$C29,25)</f>
        <v>0</v>
      </c>
      <c r="P29" s="92">
        <f>INDEX(Tabelle,$C29,19)</f>
        <v>0</v>
      </c>
      <c r="Q29" s="92">
        <f>INDEX(Tabelle,$C29,24)</f>
        <v>0</v>
      </c>
      <c r="R29" s="92">
        <f>INDEX(Tabelle,$C29,21)</f>
        <v>0</v>
      </c>
      <c r="S29" s="92">
        <f>INDEX(Tabelle,$C29,20)</f>
        <v>0</v>
      </c>
      <c r="T29" s="92">
        <f>INDEX(Tabelle,$C29,22)</f>
        <v>0</v>
      </c>
      <c r="U29" s="92">
        <f>INDEX(Tabelle,$C29,27)</f>
        <v>0</v>
      </c>
      <c r="V29" s="69">
        <f>IF(H29="",0,IF(TM_FM=2,B29,B29/H29*100))</f>
        <v>0</v>
      </c>
      <c r="W29" s="65">
        <f>IF(H29="",0,IF(TM_FM=1,B29,B29*H29/100))</f>
        <v>0</v>
      </c>
      <c r="X29" s="364">
        <f>IF(G29="G",W29,0)</f>
        <v>0</v>
      </c>
      <c r="Y29" s="70">
        <f>W29*I29</f>
        <v>0</v>
      </c>
      <c r="Z29" s="71">
        <f>W29*J29</f>
        <v>0</v>
      </c>
      <c r="AA29" s="68">
        <f>W29*K29</f>
        <v>0</v>
      </c>
      <c r="AB29" s="68">
        <f>+W29*L29</f>
        <v>0</v>
      </c>
      <c r="AC29" s="521">
        <f>+W29*M29</f>
        <v>0</v>
      </c>
      <c r="AD29" s="521">
        <f>IF(N29="-","k.A.",N29*$W29)</f>
        <v>0</v>
      </c>
      <c r="AE29" s="514">
        <f t="shared" ref="AE29:AE31" si="9">+W29*O29</f>
        <v>0</v>
      </c>
      <c r="AF29" s="380">
        <f>+W29*P29</f>
        <v>0</v>
      </c>
      <c r="AG29" s="68">
        <f>+W29*Q29</f>
        <v>0</v>
      </c>
      <c r="AH29" s="92">
        <f t="shared" ref="AH29:AH32" si="10">W29*R29</f>
        <v>0</v>
      </c>
      <c r="AI29" s="92">
        <f t="shared" ref="AI29" si="11">+W29*S29</f>
        <v>0</v>
      </c>
      <c r="AJ29" s="92">
        <f t="shared" ref="AJ29:AJ31" si="12">W29*T29</f>
        <v>0</v>
      </c>
      <c r="AK29" s="432">
        <f t="shared" ref="AK29:AK31" si="13">+W29*U29</f>
        <v>0</v>
      </c>
      <c r="AL29" s="434">
        <f>IF(Tiere&gt;0,Tiere*V29,"")</f>
        <v>0</v>
      </c>
      <c r="AM29" s="659" t="str">
        <f>IF(B29="","",IF(COUNTIF(H29:N29,0)&gt;0,"?",""))</f>
        <v>?</v>
      </c>
      <c r="AN29" s="691"/>
      <c r="AO29" s="691"/>
      <c r="AP29" s="691"/>
      <c r="AQ29" s="691"/>
      <c r="AR29" s="691"/>
      <c r="AS29" s="691"/>
      <c r="AT29" s="691"/>
      <c r="AU29" s="691"/>
      <c r="AV29" s="691"/>
      <c r="AW29" s="691"/>
      <c r="AX29" s="691"/>
      <c r="AY29" s="691"/>
      <c r="AZ29" s="691"/>
      <c r="BA29" s="691"/>
      <c r="BB29" s="691"/>
      <c r="BC29" s="691"/>
      <c r="BD29" s="691"/>
      <c r="BE29" s="691"/>
      <c r="BF29" s="691"/>
    </row>
    <row r="30" spans="1:329" ht="18" customHeight="1" thickBot="1" x14ac:dyDescent="0.3">
      <c r="A30" s="314"/>
      <c r="B30" s="8">
        <v>0</v>
      </c>
      <c r="C30" s="327">
        <v>31</v>
      </c>
      <c r="D30" s="3">
        <f>INDEX(Tabelle,$C30,2)</f>
        <v>0</v>
      </c>
      <c r="E30" s="326"/>
      <c r="F30" s="328" t="str">
        <f>IF(INDEX(Tabelle,$C30,22)="","",1)</f>
        <v/>
      </c>
      <c r="G30" s="398" t="str">
        <f>IF(INDEX(Tabelle,$C30,1)="G","G",IF(INDEX(Tabelle,$C30,1)="SF","SF",IF(INDEX(Tabelle,$C30,1)="KF","KF","")))</f>
        <v/>
      </c>
      <c r="H30" s="68" t="str">
        <f>IF(OR(INDEX(Tabelle,$C30,3)="",INDEX(Tabelle,$C30,3)=0.0001),"",INDEX(Tabelle,$C30,3)/10)</f>
        <v/>
      </c>
      <c r="I30" s="93">
        <f>ROUND(IF(Art=1,INDEX(Tabelle,$C30,4),INDEX(Tabelle,$C30,4)),2)</f>
        <v>0</v>
      </c>
      <c r="J30" s="93">
        <f>ROUND(IF(Art=1,INDEX(Tabelle,$C30,5),INDEX(Tabelle,$C30,5)),2)</f>
        <v>0</v>
      </c>
      <c r="K30" s="92">
        <f>IF(Art=1,IF(OR(INDEX(Tabelle,$C30,12)="",INDEX(Tabelle,$C30,12)=0.0001),0,INDEX(Tabelle,$C30,12)),0)</f>
        <v>0</v>
      </c>
      <c r="L30" s="92">
        <f>IF(OR(INDEX(Tabelle,$C30,13)="",INDEX(Tabelle,$C30,13)=0.0001),0,INDEX(Tabelle,$C30,13))</f>
        <v>0</v>
      </c>
      <c r="M30" s="71">
        <f>IF(Art=1,ROUND(INDEX(Tabelle,$C30,17),0),0)</f>
        <v>0</v>
      </c>
      <c r="N30" s="93">
        <f>INDEX(Tabelle,$C30,18)</f>
        <v>0</v>
      </c>
      <c r="O30" s="514">
        <f>INDEX(Tabelle,$C30,25)</f>
        <v>0</v>
      </c>
      <c r="P30" s="92">
        <f>INDEX(Tabelle,$C30,19)</f>
        <v>0</v>
      </c>
      <c r="Q30" s="92">
        <f>INDEX(Tabelle,$C30,24)</f>
        <v>0</v>
      </c>
      <c r="R30" s="92">
        <f>INDEX(Tabelle,$C30,21)</f>
        <v>0</v>
      </c>
      <c r="S30" s="92">
        <f>INDEX(Tabelle,$C30,20)</f>
        <v>0</v>
      </c>
      <c r="T30" s="92">
        <f>INDEX(Tabelle,$C30,22)</f>
        <v>0</v>
      </c>
      <c r="U30" s="92">
        <f>INDEX(Tabelle,$C30,27)</f>
        <v>0</v>
      </c>
      <c r="V30" s="89">
        <f>IF(H30="",0,IF(TM_FM=2,B30,B30/H30*100))</f>
        <v>0</v>
      </c>
      <c r="W30" s="90">
        <f>IF(H30="",0,IF(TM_FM=1,B30,B30*H30/100))</f>
        <v>0</v>
      </c>
      <c r="X30" s="364">
        <f>IF(G30="G",W30,0)</f>
        <v>0</v>
      </c>
      <c r="Y30" s="91">
        <f>W30*I30</f>
        <v>0</v>
      </c>
      <c r="Z30" s="93">
        <f>W30*J30</f>
        <v>0</v>
      </c>
      <c r="AA30" s="92">
        <f>W30*K30</f>
        <v>0</v>
      </c>
      <c r="AB30" s="92">
        <f>+W30*L30</f>
        <v>0</v>
      </c>
      <c r="AC30" s="896">
        <f>+W30*M30</f>
        <v>0</v>
      </c>
      <c r="AD30" s="71">
        <f>IF(N30="-","k.A.",N30*$W30)</f>
        <v>0</v>
      </c>
      <c r="AE30" s="514">
        <f t="shared" si="9"/>
        <v>0</v>
      </c>
      <c r="AF30" s="94">
        <f>+W30*P30</f>
        <v>0</v>
      </c>
      <c r="AG30" s="92">
        <f>+W30*Q30</f>
        <v>0</v>
      </c>
      <c r="AH30" s="92">
        <f t="shared" si="10"/>
        <v>0</v>
      </c>
      <c r="AI30" s="92">
        <f>+W30*S30</f>
        <v>0</v>
      </c>
      <c r="AJ30" s="92">
        <f>W30*T30</f>
        <v>0</v>
      </c>
      <c r="AK30" s="441">
        <f>+W30*U30</f>
        <v>0</v>
      </c>
      <c r="AL30" s="434">
        <f>IF(Tiere&gt;0,Tiere*V30,"")</f>
        <v>0</v>
      </c>
      <c r="AM30" s="383" t="str">
        <f>IF(B30="","",IF(COUNTIF(H30:N30,0)&gt;0,"?",""))</f>
        <v>?</v>
      </c>
      <c r="AN30" s="691"/>
      <c r="AO30" s="691"/>
      <c r="AP30" s="691"/>
      <c r="AQ30" s="691"/>
      <c r="AR30" s="691"/>
      <c r="AS30" s="691"/>
      <c r="AT30" s="691"/>
      <c r="AU30" s="691"/>
      <c r="AV30" s="691"/>
      <c r="AW30" s="691"/>
      <c r="AX30" s="691"/>
      <c r="AY30" s="691"/>
      <c r="AZ30" s="691"/>
      <c r="BA30" s="691"/>
      <c r="BB30" s="691"/>
      <c r="BC30" s="691"/>
      <c r="BD30" s="691"/>
      <c r="BE30" s="691"/>
      <c r="BF30" s="691"/>
    </row>
    <row r="31" spans="1:329" ht="18" customHeight="1" thickBot="1" x14ac:dyDescent="0.3">
      <c r="A31" s="314"/>
      <c r="B31" s="9"/>
      <c r="C31" s="325">
        <v>21</v>
      </c>
      <c r="D31" s="3">
        <f>INDEX(Tabelle,$C31,2)</f>
        <v>0</v>
      </c>
      <c r="E31" s="326"/>
      <c r="F31" s="299" t="str">
        <f>IF(INDEX(Tabelle,$C31,22)="","",1)</f>
        <v/>
      </c>
      <c r="G31" s="398" t="str">
        <f>IF(INDEX(Tabelle,$C31,1)="G","G",IF(INDEX(Tabelle,$C31,1)="SF","SF",IF(INDEX(Tabelle,$C31,1)="KF","KF","")))</f>
        <v/>
      </c>
      <c r="H31" s="68" t="str">
        <f>IF(OR(INDEX(Tabelle,$C31,3)="",INDEX(Tabelle,$C31,3)=0.0001),"",INDEX(Tabelle,$C31,3)/10)</f>
        <v/>
      </c>
      <c r="I31" s="93">
        <f>ROUND(IF(Art=1,INDEX(Tabelle,$C31,4),INDEX(Tabelle,$C31,4)),2)</f>
        <v>0</v>
      </c>
      <c r="J31" s="93">
        <f>ROUND(IF(Art=1,INDEX(Tabelle,$C31,5),INDEX(Tabelle,$C31,5)),2)</f>
        <v>0</v>
      </c>
      <c r="K31" s="92">
        <f>IF(Art=1,IF(OR(INDEX(Tabelle,$C31,12)="",INDEX(Tabelle,$C31,12)=0.0001),0,INDEX(Tabelle,$C31,12)),0)</f>
        <v>0</v>
      </c>
      <c r="L31" s="92">
        <f>IF(OR(INDEX(Tabelle,$C31,13)="",INDEX(Tabelle,$C31,13)=0.0001),0,INDEX(Tabelle,$C31,13))</f>
        <v>0</v>
      </c>
      <c r="M31" s="71">
        <f>IF(Art=1,ROUND(INDEX(Tabelle,$C31,17),0),0)</f>
        <v>0</v>
      </c>
      <c r="N31" s="93">
        <f>INDEX(Tabelle,$C31,18)</f>
        <v>0</v>
      </c>
      <c r="O31" s="514">
        <f>INDEX(Tabelle,$C31,25)</f>
        <v>0</v>
      </c>
      <c r="P31" s="92">
        <f>INDEX(Tabelle,$C31,19)</f>
        <v>0</v>
      </c>
      <c r="Q31" s="92">
        <f>INDEX(Tabelle,$C31,24)</f>
        <v>0</v>
      </c>
      <c r="R31" s="92">
        <f>INDEX(Tabelle,$C31,21)</f>
        <v>0</v>
      </c>
      <c r="S31" s="92">
        <f>INDEX(Tabelle,$C31,20)</f>
        <v>0</v>
      </c>
      <c r="T31" s="92">
        <f>INDEX(Tabelle,$C31,22)</f>
        <v>0</v>
      </c>
      <c r="U31" s="92">
        <f>INDEX(Tabelle,$C31,27)</f>
        <v>0</v>
      </c>
      <c r="V31" s="69">
        <f>IF(H31="",0,IF(TM_FM=2,B31,B31/H31*100))</f>
        <v>0</v>
      </c>
      <c r="W31" s="65">
        <f>IF(H31="",0,IF(TM_FM=1,B31,B31*H31/100))</f>
        <v>0</v>
      </c>
      <c r="X31" s="364">
        <f>IF(G31="G",W31,0)</f>
        <v>0</v>
      </c>
      <c r="Y31" s="70">
        <f>W31*I31</f>
        <v>0</v>
      </c>
      <c r="Z31" s="71">
        <f>W31*J31</f>
        <v>0</v>
      </c>
      <c r="AA31" s="68">
        <f>W31*K31</f>
        <v>0</v>
      </c>
      <c r="AB31" s="68">
        <f>+W31*L31</f>
        <v>0</v>
      </c>
      <c r="AC31" s="897">
        <f>+W31*M31</f>
        <v>0</v>
      </c>
      <c r="AD31" s="522">
        <f>IF(N31="-","k.A.",N31*$W31)</f>
        <v>0</v>
      </c>
      <c r="AE31" s="514">
        <f t="shared" si="9"/>
        <v>0</v>
      </c>
      <c r="AF31" s="382">
        <f>+W31*P31</f>
        <v>0</v>
      </c>
      <c r="AG31" s="381">
        <f>+W31*Q31</f>
        <v>0</v>
      </c>
      <c r="AH31" s="440">
        <f>W31*R31</f>
        <v>0</v>
      </c>
      <c r="AI31" s="440">
        <f>+W31*S31</f>
        <v>0</v>
      </c>
      <c r="AJ31" s="440">
        <f t="shared" si="12"/>
        <v>0</v>
      </c>
      <c r="AK31" s="468">
        <f t="shared" si="13"/>
        <v>0</v>
      </c>
      <c r="AL31" s="464">
        <f>IF(Tiere&gt;0,Tiere*V31,"")</f>
        <v>0</v>
      </c>
      <c r="AM31" s="659" t="str">
        <f>IF(B31="","",IF(COUNTIF(H31:N31,0)&gt;0,"?",""))</f>
        <v/>
      </c>
      <c r="AN31" s="691"/>
      <c r="AO31" s="691"/>
      <c r="AP31" s="691"/>
      <c r="AQ31" s="691"/>
      <c r="AR31" s="691"/>
      <c r="AS31" s="691"/>
      <c r="AT31" s="691"/>
      <c r="AU31" s="691"/>
      <c r="AV31" s="691"/>
      <c r="AW31" s="691"/>
      <c r="AX31" s="691"/>
      <c r="AY31" s="691"/>
      <c r="AZ31" s="691"/>
      <c r="BA31" s="691"/>
      <c r="BB31" s="691"/>
      <c r="BC31" s="691"/>
      <c r="BD31" s="691"/>
      <c r="BE31" s="691"/>
      <c r="BF31" s="691"/>
    </row>
    <row r="32" spans="1:329" s="412" customFormat="1" ht="18" customHeight="1" thickBot="1" x14ac:dyDescent="0.3">
      <c r="A32" s="413"/>
      <c r="B32" s="7"/>
      <c r="C32" s="306">
        <v>3</v>
      </c>
      <c r="D32" s="4" t="s">
        <v>119</v>
      </c>
      <c r="E32" s="300"/>
      <c r="F32" s="301"/>
      <c r="G32" s="329"/>
      <c r="H32" s="394"/>
      <c r="I32" s="73"/>
      <c r="J32" s="73"/>
      <c r="K32" s="366"/>
      <c r="L32" s="366"/>
      <c r="M32" s="366"/>
      <c r="N32" s="366"/>
      <c r="O32" s="895">
        <f>INDEX(Tabelle,$C32,25)</f>
        <v>0</v>
      </c>
      <c r="P32" s="366"/>
      <c r="Q32" s="366"/>
      <c r="R32" s="366">
        <f>INDEX(Tabelle,$C32,21)</f>
        <v>0</v>
      </c>
      <c r="S32" s="366"/>
      <c r="T32" s="366"/>
      <c r="U32" s="433"/>
      <c r="V32" s="74">
        <f>B32</f>
        <v>0</v>
      </c>
      <c r="W32" s="75">
        <f>V32*H32</f>
        <v>0</v>
      </c>
      <c r="X32" s="81">
        <f>IF(G32="G",W32,0)</f>
        <v>0</v>
      </c>
      <c r="Y32" s="76"/>
      <c r="Z32" s="366"/>
      <c r="AA32" s="73"/>
      <c r="AB32" s="366"/>
      <c r="AC32" s="366"/>
      <c r="AD32" s="73"/>
      <c r="AE32" s="895">
        <f>+W32*O32</f>
        <v>0</v>
      </c>
      <c r="AF32" s="77"/>
      <c r="AG32" s="366"/>
      <c r="AH32" s="366">
        <f t="shared" si="10"/>
        <v>0</v>
      </c>
      <c r="AI32" s="366"/>
      <c r="AJ32" s="366"/>
      <c r="AK32" s="433"/>
      <c r="AL32" s="435">
        <f>IF(Tiere&gt;0,Tiere*V32,"")</f>
        <v>0</v>
      </c>
      <c r="AM32" s="659"/>
      <c r="AN32" s="691"/>
      <c r="AO32" s="691"/>
      <c r="AP32" s="691"/>
      <c r="AQ32" s="691"/>
      <c r="AR32" s="691"/>
      <c r="AS32" s="691"/>
      <c r="AT32" s="691"/>
      <c r="AU32" s="691"/>
      <c r="AV32" s="691"/>
      <c r="AW32" s="691"/>
      <c r="AX32" s="691"/>
      <c r="AY32" s="691"/>
      <c r="AZ32" s="691"/>
      <c r="BA32" s="691"/>
      <c r="BB32" s="691"/>
      <c r="BC32" s="691"/>
      <c r="BD32" s="691"/>
      <c r="BE32" s="691"/>
      <c r="BF32" s="691"/>
      <c r="BG32" s="692"/>
      <c r="BH32" s="692"/>
      <c r="BI32" s="692"/>
      <c r="BJ32" s="692"/>
      <c r="BK32" s="692"/>
      <c r="BL32" s="692"/>
      <c r="BM32" s="692"/>
      <c r="BN32" s="692"/>
      <c r="BO32" s="692"/>
      <c r="BP32" s="692"/>
      <c r="BQ32" s="692"/>
      <c r="BR32" s="692"/>
      <c r="BS32" s="692"/>
      <c r="BT32" s="692"/>
      <c r="BU32" s="692"/>
      <c r="BV32" s="692"/>
      <c r="BW32" s="692"/>
      <c r="BX32" s="692"/>
      <c r="BY32" s="692"/>
      <c r="BZ32" s="692"/>
      <c r="CA32" s="692"/>
      <c r="CB32" s="692"/>
      <c r="CC32" s="692"/>
      <c r="CD32" s="692"/>
      <c r="CE32" s="692"/>
      <c r="CF32" s="692"/>
      <c r="CG32" s="692"/>
      <c r="CH32" s="692"/>
      <c r="CI32" s="692"/>
      <c r="CJ32" s="692"/>
      <c r="CK32" s="692"/>
      <c r="CL32" s="692"/>
      <c r="CM32" s="692"/>
      <c r="CN32" s="692"/>
      <c r="CO32" s="692"/>
      <c r="CP32" s="692"/>
      <c r="CQ32" s="692"/>
      <c r="CR32" s="692"/>
      <c r="CS32" s="692"/>
      <c r="CT32" s="692"/>
      <c r="CU32" s="692"/>
      <c r="CV32" s="692"/>
      <c r="CW32" s="692"/>
      <c r="CX32" s="692"/>
      <c r="CY32" s="692"/>
      <c r="CZ32" s="692"/>
      <c r="DA32" s="692"/>
      <c r="DB32" s="692"/>
      <c r="DC32" s="692"/>
      <c r="DD32" s="692"/>
      <c r="DE32" s="692"/>
      <c r="DF32" s="692"/>
      <c r="DG32" s="692"/>
      <c r="DH32" s="692"/>
      <c r="DI32" s="692"/>
      <c r="DJ32" s="692"/>
      <c r="DK32" s="692"/>
      <c r="DL32" s="692"/>
      <c r="DM32" s="692"/>
      <c r="DN32" s="692"/>
      <c r="DO32" s="692"/>
      <c r="DP32" s="692"/>
      <c r="DQ32" s="692"/>
      <c r="DR32" s="692"/>
      <c r="DS32" s="692"/>
      <c r="DT32" s="692"/>
      <c r="DU32" s="692"/>
      <c r="DV32" s="692"/>
      <c r="DW32" s="692"/>
      <c r="DX32" s="692"/>
      <c r="DY32" s="692"/>
      <c r="DZ32" s="692"/>
      <c r="EA32" s="692"/>
      <c r="EB32" s="692"/>
      <c r="EC32" s="692"/>
      <c r="ED32" s="692"/>
      <c r="EE32" s="692"/>
      <c r="EF32" s="692"/>
      <c r="EG32" s="692"/>
      <c r="EH32" s="692"/>
      <c r="EI32" s="692"/>
      <c r="EJ32" s="692"/>
      <c r="EK32" s="692"/>
      <c r="EL32" s="692"/>
      <c r="EM32" s="692"/>
      <c r="EN32" s="692"/>
      <c r="EO32" s="692"/>
      <c r="EP32" s="692"/>
      <c r="EQ32" s="692"/>
      <c r="ER32" s="692"/>
      <c r="ES32" s="692"/>
      <c r="ET32" s="692"/>
      <c r="EU32" s="692"/>
      <c r="EV32" s="692"/>
      <c r="EW32" s="692"/>
      <c r="EX32" s="692"/>
      <c r="EY32" s="692"/>
      <c r="EZ32" s="692"/>
      <c r="FA32" s="692"/>
      <c r="FB32" s="692"/>
      <c r="FC32" s="692"/>
      <c r="FD32" s="692"/>
      <c r="FE32" s="692"/>
      <c r="FF32" s="692"/>
      <c r="FG32" s="692"/>
      <c r="FH32" s="692"/>
      <c r="FI32" s="692"/>
      <c r="FJ32" s="692"/>
      <c r="FK32" s="692"/>
      <c r="FL32" s="692"/>
      <c r="FM32" s="692"/>
      <c r="FN32" s="692"/>
      <c r="FO32" s="692"/>
      <c r="FP32" s="692"/>
      <c r="FQ32" s="692"/>
      <c r="FR32" s="692"/>
      <c r="FS32" s="692"/>
      <c r="FT32" s="692"/>
      <c r="FU32" s="692"/>
      <c r="FV32" s="692"/>
      <c r="FW32" s="692"/>
      <c r="FX32" s="692"/>
      <c r="FY32" s="692"/>
      <c r="FZ32" s="692"/>
      <c r="GA32" s="692"/>
      <c r="GB32" s="692"/>
      <c r="GC32" s="692"/>
      <c r="GD32" s="692"/>
      <c r="GE32" s="692"/>
      <c r="GF32" s="692"/>
      <c r="GG32" s="692"/>
      <c r="GH32" s="692"/>
      <c r="GI32" s="692"/>
      <c r="GJ32" s="692"/>
      <c r="GK32" s="692"/>
      <c r="GL32" s="692"/>
      <c r="GM32" s="692"/>
      <c r="GN32" s="692"/>
      <c r="GO32" s="692"/>
      <c r="GP32" s="692"/>
      <c r="GQ32" s="692"/>
      <c r="GR32" s="692"/>
      <c r="GS32" s="692"/>
      <c r="GT32" s="692"/>
      <c r="GU32" s="692"/>
      <c r="GV32" s="692"/>
      <c r="GW32" s="692"/>
      <c r="GX32" s="692"/>
      <c r="GY32" s="692"/>
      <c r="GZ32" s="692"/>
      <c r="HA32" s="692"/>
      <c r="HB32" s="692"/>
      <c r="HC32" s="692"/>
      <c r="HD32" s="692"/>
      <c r="HE32" s="692"/>
      <c r="HF32" s="692"/>
      <c r="HG32" s="692"/>
      <c r="HH32" s="692"/>
      <c r="HI32" s="692"/>
      <c r="HJ32" s="692"/>
      <c r="HK32" s="692"/>
      <c r="HL32" s="692"/>
      <c r="HM32" s="692"/>
      <c r="HN32" s="692"/>
      <c r="HO32" s="692"/>
      <c r="HP32" s="692"/>
      <c r="HQ32" s="692"/>
      <c r="HR32" s="692"/>
      <c r="HS32" s="692"/>
      <c r="HT32" s="692"/>
      <c r="HU32" s="692"/>
      <c r="HV32" s="692"/>
      <c r="HW32" s="692"/>
      <c r="HX32" s="692"/>
      <c r="HY32" s="692"/>
      <c r="HZ32" s="692"/>
      <c r="IA32" s="692"/>
      <c r="IB32" s="692"/>
      <c r="IC32" s="692"/>
      <c r="ID32" s="692"/>
      <c r="IE32" s="692"/>
      <c r="IF32" s="692"/>
      <c r="IG32" s="692"/>
      <c r="IH32" s="692"/>
      <c r="II32" s="692"/>
      <c r="IJ32" s="692"/>
      <c r="IK32" s="692"/>
      <c r="IL32" s="692"/>
      <c r="IM32" s="692"/>
      <c r="IN32" s="692"/>
      <c r="IO32" s="692"/>
      <c r="IP32" s="692"/>
      <c r="IQ32" s="692"/>
      <c r="IR32" s="692"/>
      <c r="IS32" s="692"/>
      <c r="IT32" s="692"/>
      <c r="IU32" s="692"/>
      <c r="IV32" s="692"/>
      <c r="IW32" s="692"/>
      <c r="IX32" s="692"/>
      <c r="IY32" s="692"/>
      <c r="IZ32" s="692"/>
      <c r="JA32" s="692"/>
      <c r="JB32" s="692"/>
      <c r="JC32" s="692"/>
      <c r="JD32" s="692"/>
      <c r="JE32" s="692"/>
      <c r="JF32" s="692"/>
      <c r="JG32" s="692"/>
      <c r="JH32" s="692"/>
      <c r="JI32" s="692"/>
      <c r="JJ32" s="692"/>
      <c r="JK32" s="692"/>
      <c r="JL32" s="692"/>
      <c r="JM32" s="692"/>
      <c r="JN32" s="692"/>
      <c r="JO32" s="692"/>
      <c r="JP32" s="692"/>
      <c r="JQ32" s="692"/>
      <c r="JR32" s="692"/>
      <c r="JS32" s="692"/>
      <c r="JT32" s="692"/>
      <c r="JU32" s="692"/>
      <c r="JV32" s="692"/>
      <c r="JW32" s="692"/>
      <c r="JX32" s="692"/>
      <c r="JY32" s="692"/>
      <c r="JZ32" s="692"/>
      <c r="KA32" s="692"/>
      <c r="KB32" s="692"/>
      <c r="KC32" s="692"/>
      <c r="KD32" s="692"/>
      <c r="KE32" s="692"/>
      <c r="KF32" s="692"/>
      <c r="KG32" s="692"/>
      <c r="KH32" s="692"/>
      <c r="KI32" s="692"/>
      <c r="KJ32" s="692"/>
      <c r="KK32" s="692"/>
      <c r="KL32" s="692"/>
      <c r="KM32" s="692"/>
      <c r="KN32" s="692"/>
      <c r="KO32" s="692"/>
      <c r="KP32" s="692"/>
      <c r="KQ32" s="692"/>
      <c r="KR32" s="692"/>
      <c r="KS32" s="692"/>
      <c r="KT32" s="692"/>
      <c r="KU32" s="692"/>
      <c r="KV32" s="692"/>
      <c r="KW32" s="692"/>
      <c r="KX32" s="692"/>
      <c r="KY32" s="692"/>
      <c r="KZ32" s="692"/>
      <c r="LA32" s="692"/>
      <c r="LB32" s="692"/>
      <c r="LC32" s="692"/>
      <c r="LD32" s="692"/>
      <c r="LE32" s="692"/>
      <c r="LF32" s="692"/>
      <c r="LG32" s="692"/>
      <c r="LH32" s="692"/>
      <c r="LI32" s="692"/>
      <c r="LJ32" s="692"/>
      <c r="LK32" s="692"/>
      <c r="LL32" s="692"/>
      <c r="LM32" s="692"/>
      <c r="LN32" s="692"/>
      <c r="LO32" s="692"/>
      <c r="LP32" s="692"/>
      <c r="LQ32" s="692"/>
    </row>
    <row r="33" spans="1:329" ht="18" customHeight="1" thickBot="1" x14ac:dyDescent="0.3">
      <c r="A33" s="314"/>
      <c r="B33" s="322"/>
      <c r="C33" s="322"/>
      <c r="D33" s="322"/>
      <c r="E33" s="322"/>
      <c r="F33" s="322"/>
      <c r="G33" s="322"/>
      <c r="H33" s="322"/>
      <c r="I33" s="322"/>
      <c r="J33" s="322"/>
      <c r="K33" s="322"/>
      <c r="L33" s="322"/>
      <c r="M33" s="322"/>
      <c r="N33" s="688"/>
      <c r="O33" s="688"/>
      <c r="P33" s="688"/>
      <c r="Q33" s="322"/>
      <c r="R33" s="322"/>
      <c r="S33" s="322"/>
      <c r="T33" s="322"/>
      <c r="U33" s="322"/>
      <c r="V33" s="38">
        <f>SUM(V28:V32,V20:V24)</f>
        <v>0</v>
      </c>
      <c r="W33" s="407">
        <f>SUM(W28:W32,W20:W24)</f>
        <v>0</v>
      </c>
      <c r="X33" s="408"/>
      <c r="Y33" s="446">
        <f t="shared" ref="Y33:AC33" si="14">SUM(Y28:Y32,Y20:Y24)</f>
        <v>0</v>
      </c>
      <c r="Z33" s="410">
        <f t="shared" si="14"/>
        <v>0</v>
      </c>
      <c r="AA33" s="449">
        <f t="shared" si="14"/>
        <v>0</v>
      </c>
      <c r="AB33" s="409">
        <f t="shared" si="14"/>
        <v>0</v>
      </c>
      <c r="AC33" s="450">
        <f t="shared" si="14"/>
        <v>0</v>
      </c>
      <c r="AD33" s="410">
        <f>SUM(AD28:AD32,AD20:AD24)</f>
        <v>0</v>
      </c>
      <c r="AE33" s="43">
        <f>SUM(AE28:AE32,AE20:AE24)</f>
        <v>0</v>
      </c>
      <c r="AF33" s="438">
        <f t="shared" ref="AF33:AG33" si="15">SUM(AF28:AF32,AF20:AF24)</f>
        <v>0</v>
      </c>
      <c r="AG33" s="411">
        <f t="shared" si="15"/>
        <v>0</v>
      </c>
      <c r="AH33" s="409">
        <f>SUM(AH28:AH32,AH20:AH24)</f>
        <v>0</v>
      </c>
      <c r="AI33" s="409">
        <f>SUM(AI28:AI32,AI20:AI24)</f>
        <v>0</v>
      </c>
      <c r="AJ33" s="411">
        <f>SUM(AJ28:AJ32,AJ20:AJ24)</f>
        <v>0</v>
      </c>
      <c r="AK33" s="442">
        <f>SUM(AK28:AK32,AK20:AK24)</f>
        <v>0</v>
      </c>
      <c r="AL33" s="465">
        <f>SUM(AL28:AL32,AL20:AL24)</f>
        <v>0</v>
      </c>
      <c r="AN33" s="691"/>
      <c r="AO33" s="691"/>
      <c r="AP33" s="691"/>
      <c r="AQ33" s="691"/>
      <c r="AR33" s="691"/>
      <c r="AS33" s="691"/>
      <c r="AT33" s="691"/>
      <c r="AU33" s="691"/>
      <c r="AV33" s="691"/>
      <c r="AW33" s="691"/>
      <c r="AX33" s="691"/>
      <c r="AY33" s="691"/>
      <c r="AZ33" s="691"/>
      <c r="BA33" s="691"/>
      <c r="BB33" s="691"/>
      <c r="BC33" s="691"/>
      <c r="BD33" s="691"/>
      <c r="BE33" s="691"/>
      <c r="BF33" s="691"/>
    </row>
    <row r="34" spans="1:329" ht="18" customHeight="1" thickBot="1" x14ac:dyDescent="0.3">
      <c r="A34" s="314"/>
      <c r="B34" s="322"/>
      <c r="C34" s="322"/>
      <c r="D34" s="322"/>
      <c r="E34" s="322"/>
      <c r="F34" s="322"/>
      <c r="G34" s="322"/>
      <c r="H34" s="322"/>
      <c r="I34" s="322"/>
      <c r="J34" s="322"/>
      <c r="K34" s="322"/>
      <c r="L34" s="322"/>
      <c r="M34" s="322"/>
      <c r="N34" s="322"/>
      <c r="O34" s="322"/>
      <c r="P34" s="322"/>
      <c r="Q34" s="322"/>
      <c r="R34" s="322"/>
      <c r="S34" s="322"/>
      <c r="T34" s="322"/>
      <c r="U34" s="322"/>
      <c r="V34" s="82" t="s">
        <v>54</v>
      </c>
      <c r="W34" s="83" t="str">
        <f>IF(W33=0,"",TM_Grundration/V33)</f>
        <v/>
      </c>
      <c r="X34" s="84"/>
      <c r="Y34" s="87" t="str">
        <f>IF($W$33&gt;0,Y33/$W$33,"")</f>
        <v/>
      </c>
      <c r="Z34" s="96" t="str">
        <f>IF($W$33&gt;0,Z33/$W$33,"")</f>
        <v/>
      </c>
      <c r="AA34" s="95" t="str">
        <f>IF($W$33&gt;0,AA33/$W$33,"")</f>
        <v/>
      </c>
      <c r="AB34" s="95" t="str">
        <f>IF($W$33&gt;0,AB33/$W$33,"")</f>
        <v/>
      </c>
      <c r="AC34" s="87" t="str">
        <f t="shared" ref="AC34:AG34" si="16">IF($W$33&gt;0,AC33/$W$33,"")</f>
        <v/>
      </c>
      <c r="AD34" s="96" t="str">
        <f>IF($W$33&gt;0,AD33/$W$33,"")</f>
        <v/>
      </c>
      <c r="AE34" s="466" t="str">
        <f>IF($W$33&gt;0,AE33/$W$33,"")</f>
        <v/>
      </c>
      <c r="AF34" s="86" t="str">
        <f t="shared" si="16"/>
        <v/>
      </c>
      <c r="AG34" s="95" t="str">
        <f t="shared" si="16"/>
        <v/>
      </c>
      <c r="AH34" s="95" t="str">
        <f>IF($W$33&gt;0,AH33/$W$33,"")</f>
        <v/>
      </c>
      <c r="AI34" s="95" t="str">
        <f>IF($W$33&gt;0,AI33/$W$33,"")</f>
        <v/>
      </c>
      <c r="AJ34" s="95" t="str">
        <f>IF($W$33&gt;0,AJ33/$W$33,"")</f>
        <v/>
      </c>
      <c r="AK34" s="466" t="str">
        <f>IF($W$33&gt;0,AK33/$W$33,"")</f>
        <v/>
      </c>
      <c r="AL34" s="97"/>
      <c r="AM34" s="693"/>
      <c r="AO34" s="691"/>
      <c r="AP34" s="691"/>
      <c r="AQ34" s="691"/>
      <c r="AR34" s="691"/>
      <c r="AS34" s="691"/>
      <c r="AT34" s="691"/>
      <c r="AU34" s="691"/>
      <c r="AV34" s="691"/>
      <c r="AW34" s="691"/>
      <c r="AX34" s="691"/>
      <c r="AY34" s="691"/>
      <c r="AZ34" s="691"/>
      <c r="BA34" s="691"/>
      <c r="BB34" s="691"/>
      <c r="BC34" s="691"/>
      <c r="BD34" s="691"/>
      <c r="BE34" s="691"/>
      <c r="BF34" s="691"/>
    </row>
    <row r="35" spans="1:329" ht="18" customHeight="1" thickBot="1" x14ac:dyDescent="0.3">
      <c r="A35" s="319"/>
      <c r="B35" s="320"/>
      <c r="C35" s="321"/>
      <c r="D35" s="929" t="s">
        <v>74</v>
      </c>
      <c r="E35" s="930"/>
      <c r="F35" s="930"/>
      <c r="G35" s="931"/>
      <c r="H35" s="330"/>
      <c r="I35" s="330"/>
      <c r="J35" s="318"/>
      <c r="K35" s="318"/>
      <c r="L35" s="322"/>
      <c r="M35" s="322"/>
      <c r="N35" s="323"/>
      <c r="O35" s="322"/>
      <c r="P35" s="322"/>
      <c r="Q35" s="322"/>
      <c r="R35" s="322"/>
      <c r="S35" s="322"/>
      <c r="T35" s="322"/>
      <c r="U35" s="322"/>
      <c r="V35" s="44"/>
      <c r="W35" s="88"/>
      <c r="X35" s="88"/>
      <c r="Y35" s="491"/>
      <c r="Z35" s="492">
        <f>IF(Y12=0,0,(Z33-Y14)/Y12)</f>
        <v>0</v>
      </c>
      <c r="AA35" s="492"/>
      <c r="AB35" s="490">
        <f>IF(Z12=0,0,(AB33-Z14)/Z12)</f>
        <v>0</v>
      </c>
      <c r="AC35" s="52" t="s">
        <v>16</v>
      </c>
      <c r="AD35" s="79" t="str">
        <f>IF(OR(AD33="k.A.",V33=0),"",+AD33/$V33*0.001)</f>
        <v/>
      </c>
      <c r="AE35" s="97"/>
      <c r="AF35" s="97"/>
      <c r="AG35" s="97" t="str">
        <f>+IF(V33=0,"",AG34/$V33*0.001)</f>
        <v/>
      </c>
      <c r="AH35" s="97" t="str">
        <f>+IF(Z33=0,"",AH34/$V33*0.001)</f>
        <v/>
      </c>
      <c r="AI35" s="97"/>
      <c r="AJ35" s="97"/>
      <c r="AK35" s="97"/>
      <c r="AL35" s="97"/>
      <c r="AM35" s="694"/>
      <c r="AO35" s="691"/>
      <c r="AP35" s="691"/>
      <c r="AQ35" s="691"/>
      <c r="AR35" s="691"/>
      <c r="AS35" s="691"/>
      <c r="AT35" s="691"/>
      <c r="AU35" s="691"/>
      <c r="AV35" s="691"/>
      <c r="AW35" s="691"/>
      <c r="AX35" s="691"/>
      <c r="AY35" s="691"/>
      <c r="AZ35" s="691"/>
      <c r="BA35" s="691"/>
      <c r="BB35" s="691"/>
      <c r="BC35" s="691"/>
      <c r="BD35" s="691"/>
      <c r="BE35" s="691"/>
      <c r="BF35" s="691"/>
    </row>
    <row r="36" spans="1:329" s="27" customFormat="1" ht="5.25" customHeight="1" thickBot="1" x14ac:dyDescent="0.3">
      <c r="A36" s="307"/>
      <c r="B36" s="315"/>
      <c r="C36" s="315"/>
      <c r="D36" s="932"/>
      <c r="E36" s="933"/>
      <c r="F36" s="933"/>
      <c r="G36" s="934"/>
      <c r="H36" s="318"/>
      <c r="I36" s="318"/>
      <c r="J36" s="318"/>
      <c r="K36" s="318"/>
      <c r="L36" s="322"/>
      <c r="M36" s="322"/>
      <c r="N36" s="323"/>
      <c r="O36" s="322"/>
      <c r="P36" s="322"/>
      <c r="Q36" s="322"/>
      <c r="R36" s="322"/>
      <c r="S36" s="322"/>
      <c r="T36" s="322"/>
      <c r="U36" s="322"/>
      <c r="V36" s="318"/>
      <c r="W36" s="324"/>
      <c r="X36" s="324"/>
      <c r="Y36" s="318"/>
      <c r="Z36" s="318"/>
      <c r="AA36" s="315"/>
      <c r="AB36" s="323"/>
      <c r="AC36" s="323"/>
      <c r="AD36" s="523"/>
      <c r="AE36" s="315"/>
      <c r="AF36" s="315"/>
      <c r="AG36" s="323"/>
      <c r="AH36" s="323"/>
      <c r="AI36" s="323"/>
      <c r="AJ36" s="404"/>
      <c r="AK36" s="323"/>
      <c r="AL36" s="315"/>
      <c r="AM36" s="383"/>
      <c r="AN36" s="585"/>
      <c r="AO36" s="585"/>
      <c r="AP36" s="585"/>
      <c r="AQ36" s="585"/>
      <c r="AR36" s="585"/>
      <c r="AS36" s="585"/>
      <c r="AT36" s="585"/>
      <c r="AU36" s="585"/>
      <c r="AV36" s="585"/>
      <c r="AW36" s="585"/>
      <c r="AX36" s="585"/>
      <c r="AY36" s="585"/>
      <c r="AZ36" s="585"/>
      <c r="BA36" s="585"/>
      <c r="BB36" s="585"/>
      <c r="BC36" s="585"/>
      <c r="BD36" s="585"/>
      <c r="BE36" s="585"/>
      <c r="BF36" s="585"/>
      <c r="BG36" s="585"/>
      <c r="BH36" s="585"/>
      <c r="BI36" s="585"/>
      <c r="BJ36" s="585"/>
      <c r="BK36" s="585"/>
      <c r="BL36" s="585"/>
      <c r="BM36" s="585"/>
      <c r="BN36" s="585"/>
      <c r="BO36" s="585"/>
      <c r="BP36" s="585"/>
      <c r="BQ36" s="585"/>
      <c r="BR36" s="585"/>
      <c r="BS36" s="585"/>
      <c r="BT36" s="585"/>
      <c r="BU36" s="585"/>
      <c r="BV36" s="585"/>
      <c r="BW36" s="585"/>
      <c r="BX36" s="585"/>
      <c r="BY36" s="585"/>
      <c r="BZ36" s="585"/>
      <c r="CA36" s="585"/>
      <c r="CB36" s="585"/>
      <c r="CC36" s="585"/>
      <c r="CD36" s="585"/>
      <c r="CE36" s="585"/>
      <c r="CF36" s="585"/>
      <c r="CG36" s="585"/>
      <c r="CH36" s="585"/>
      <c r="CI36" s="585"/>
      <c r="CJ36" s="585"/>
      <c r="CK36" s="585"/>
      <c r="CL36" s="585"/>
      <c r="CM36" s="585"/>
      <c r="CN36" s="585"/>
      <c r="CO36" s="585"/>
      <c r="CP36" s="585"/>
      <c r="CQ36" s="585"/>
      <c r="CR36" s="585"/>
      <c r="CS36" s="585"/>
      <c r="CT36" s="585"/>
      <c r="CU36" s="585"/>
      <c r="CV36" s="585"/>
      <c r="CW36" s="585"/>
      <c r="CX36" s="585"/>
      <c r="CY36" s="585"/>
      <c r="CZ36" s="585"/>
      <c r="DA36" s="585"/>
      <c r="DB36" s="585"/>
      <c r="DC36" s="585"/>
      <c r="DD36" s="585"/>
      <c r="DE36" s="585"/>
      <c r="DF36" s="585"/>
      <c r="DG36" s="585"/>
      <c r="DH36" s="585"/>
      <c r="DI36" s="585"/>
      <c r="DJ36" s="585"/>
      <c r="DK36" s="585"/>
      <c r="DL36" s="585"/>
      <c r="DM36" s="585"/>
      <c r="DN36" s="585"/>
      <c r="DO36" s="585"/>
      <c r="DP36" s="585"/>
      <c r="DQ36" s="585"/>
      <c r="DR36" s="585"/>
      <c r="DS36" s="585"/>
      <c r="DT36" s="585"/>
      <c r="DU36" s="585"/>
      <c r="DV36" s="585"/>
      <c r="DW36" s="585"/>
      <c r="DX36" s="585"/>
      <c r="DY36" s="585"/>
      <c r="DZ36" s="585"/>
      <c r="EA36" s="585"/>
      <c r="EB36" s="585"/>
      <c r="EC36" s="585"/>
      <c r="ED36" s="585"/>
      <c r="EE36" s="585"/>
      <c r="EF36" s="585"/>
      <c r="EG36" s="585"/>
      <c r="EH36" s="585"/>
      <c r="EI36" s="585"/>
      <c r="EJ36" s="585"/>
      <c r="EK36" s="585"/>
      <c r="EL36" s="585"/>
      <c r="EM36" s="585"/>
      <c r="EN36" s="585"/>
      <c r="EO36" s="585"/>
      <c r="EP36" s="585"/>
      <c r="EQ36" s="585"/>
      <c r="ER36" s="585"/>
      <c r="ES36" s="585"/>
      <c r="ET36" s="585"/>
      <c r="EU36" s="585"/>
      <c r="EV36" s="585"/>
      <c r="EW36" s="585"/>
      <c r="EX36" s="585"/>
      <c r="EY36" s="585"/>
      <c r="EZ36" s="585"/>
      <c r="FA36" s="585"/>
      <c r="FB36" s="585"/>
      <c r="FC36" s="585"/>
      <c r="FD36" s="585"/>
      <c r="FE36" s="585"/>
      <c r="FF36" s="585"/>
      <c r="FG36" s="585"/>
      <c r="FH36" s="585"/>
      <c r="FI36" s="585"/>
      <c r="FJ36" s="585"/>
      <c r="FK36" s="585"/>
      <c r="FL36" s="585"/>
      <c r="FM36" s="585"/>
      <c r="FN36" s="585"/>
      <c r="FO36" s="585"/>
      <c r="FP36" s="585"/>
      <c r="FQ36" s="585"/>
      <c r="FR36" s="585"/>
      <c r="FS36" s="585"/>
      <c r="FT36" s="585"/>
      <c r="FU36" s="585"/>
      <c r="FV36" s="585"/>
      <c r="FW36" s="585"/>
      <c r="FX36" s="585"/>
      <c r="FY36" s="585"/>
      <c r="FZ36" s="585"/>
      <c r="GA36" s="585"/>
      <c r="GB36" s="585"/>
      <c r="GC36" s="585"/>
      <c r="GD36" s="585"/>
      <c r="GE36" s="585"/>
      <c r="GF36" s="585"/>
      <c r="GG36" s="585"/>
      <c r="GH36" s="585"/>
      <c r="GI36" s="585"/>
      <c r="GJ36" s="585"/>
      <c r="GK36" s="585"/>
      <c r="GL36" s="585"/>
      <c r="GM36" s="585"/>
      <c r="GN36" s="585"/>
      <c r="GO36" s="585"/>
      <c r="GP36" s="585"/>
      <c r="GQ36" s="585"/>
      <c r="GR36" s="585"/>
      <c r="GS36" s="585"/>
      <c r="GT36" s="585"/>
      <c r="GU36" s="585"/>
      <c r="GV36" s="585"/>
      <c r="GW36" s="585"/>
      <c r="GX36" s="585"/>
      <c r="GY36" s="585"/>
      <c r="GZ36" s="585"/>
      <c r="HA36" s="585"/>
      <c r="HB36" s="585"/>
      <c r="HC36" s="585"/>
      <c r="HD36" s="585"/>
      <c r="HE36" s="585"/>
      <c r="HF36" s="585"/>
      <c r="HG36" s="585"/>
      <c r="HH36" s="585"/>
      <c r="HI36" s="585"/>
      <c r="HJ36" s="585"/>
      <c r="HK36" s="585"/>
      <c r="HL36" s="585"/>
      <c r="HM36" s="585"/>
      <c r="HN36" s="585"/>
      <c r="HO36" s="585"/>
      <c r="HP36" s="585"/>
      <c r="HQ36" s="585"/>
      <c r="HR36" s="585"/>
      <c r="HS36" s="585"/>
      <c r="HT36" s="585"/>
      <c r="HU36" s="585"/>
      <c r="HV36" s="585"/>
      <c r="HW36" s="585"/>
      <c r="HX36" s="585"/>
      <c r="HY36" s="585"/>
      <c r="HZ36" s="585"/>
      <c r="IA36" s="585"/>
      <c r="IB36" s="585"/>
      <c r="IC36" s="585"/>
      <c r="ID36" s="585"/>
      <c r="IE36" s="585"/>
      <c r="IF36" s="585"/>
      <c r="IG36" s="585"/>
      <c r="IH36" s="585"/>
      <c r="II36" s="585"/>
      <c r="IJ36" s="585"/>
      <c r="IK36" s="585"/>
      <c r="IL36" s="585"/>
      <c r="IM36" s="585"/>
      <c r="IN36" s="585"/>
      <c r="IO36" s="585"/>
      <c r="IP36" s="585"/>
      <c r="IQ36" s="585"/>
      <c r="IR36" s="585"/>
      <c r="IS36" s="585"/>
      <c r="IT36" s="585"/>
      <c r="IU36" s="585"/>
      <c r="IV36" s="585"/>
      <c r="IW36" s="585"/>
      <c r="IX36" s="585"/>
      <c r="IY36" s="585"/>
      <c r="IZ36" s="585"/>
      <c r="JA36" s="585"/>
      <c r="JB36" s="585"/>
      <c r="JC36" s="585"/>
      <c r="JD36" s="585"/>
      <c r="JE36" s="585"/>
      <c r="JF36" s="585"/>
      <c r="JG36" s="585"/>
      <c r="JH36" s="585"/>
      <c r="JI36" s="585"/>
      <c r="JJ36" s="585"/>
      <c r="JK36" s="585"/>
      <c r="JL36" s="585"/>
      <c r="JM36" s="585"/>
      <c r="JN36" s="585"/>
      <c r="JO36" s="585"/>
      <c r="JP36" s="585"/>
      <c r="JQ36" s="585"/>
      <c r="JR36" s="585"/>
      <c r="JS36" s="585"/>
      <c r="JT36" s="585"/>
      <c r="JU36" s="585"/>
      <c r="JV36" s="585"/>
      <c r="JW36" s="585"/>
      <c r="JX36" s="585"/>
      <c r="JY36" s="585"/>
      <c r="JZ36" s="585"/>
      <c r="KA36" s="585"/>
      <c r="KB36" s="585"/>
      <c r="KC36" s="585"/>
      <c r="KD36" s="585"/>
      <c r="KE36" s="585"/>
      <c r="KF36" s="585"/>
      <c r="KG36" s="585"/>
      <c r="KH36" s="585"/>
      <c r="KI36" s="585"/>
      <c r="KJ36" s="585"/>
      <c r="KK36" s="585"/>
      <c r="KL36" s="585"/>
      <c r="KM36" s="585"/>
      <c r="KN36" s="585"/>
      <c r="KO36" s="585"/>
      <c r="KP36" s="585"/>
      <c r="KQ36" s="585"/>
      <c r="KR36" s="585"/>
      <c r="KS36" s="585"/>
      <c r="KT36" s="585"/>
      <c r="KU36" s="585"/>
      <c r="KV36" s="585"/>
      <c r="KW36" s="585"/>
      <c r="KX36" s="585"/>
      <c r="KY36" s="585"/>
      <c r="KZ36" s="585"/>
      <c r="LA36" s="585"/>
      <c r="LB36" s="585"/>
      <c r="LC36" s="585"/>
      <c r="LD36" s="585"/>
      <c r="LE36" s="585"/>
      <c r="LF36" s="585"/>
      <c r="LG36" s="585"/>
      <c r="LH36" s="585"/>
      <c r="LI36" s="585"/>
      <c r="LJ36" s="585"/>
      <c r="LK36" s="585"/>
      <c r="LL36" s="585"/>
      <c r="LM36" s="585"/>
      <c r="LN36" s="585"/>
      <c r="LO36" s="585"/>
      <c r="LP36" s="585"/>
      <c r="LQ36" s="585"/>
    </row>
    <row r="37" spans="1:329" ht="18.75" customHeight="1" thickBot="1" x14ac:dyDescent="0.3">
      <c r="A37" s="314"/>
      <c r="B37" s="6">
        <v>0</v>
      </c>
      <c r="C37" s="304">
        <v>31</v>
      </c>
      <c r="D37" s="23">
        <f>INDEX(Tabelle,$C37,2)</f>
        <v>0</v>
      </c>
      <c r="E37" s="296"/>
      <c r="F37" s="297" t="str">
        <f>IF(INDEX(Tabelle,$C37,22)="","",1)</f>
        <v/>
      </c>
      <c r="G37" s="302" t="str">
        <f>IF(INDEX(Tabelle,$C37,1)="G","G",IF(INDEX(Tabelle,$C37,1)="SF","SF",IF(INDEX(Tabelle,$C37,1)="KF","KF","")))</f>
        <v/>
      </c>
      <c r="H37" s="894" t="str">
        <f>IF(OR(INDEX(Tabelle,$C37,3)="",INDEX(Tabelle,$C37,3)=0.0001),"",INDEX(Tabelle,$C37,3)/10)</f>
        <v/>
      </c>
      <c r="I37" s="443">
        <f>ROUND(IF(Art=1,INDEX(Tabelle,$C37,4),INDEX(Tabelle,$C37,5)),2)</f>
        <v>0</v>
      </c>
      <c r="J37" s="443">
        <f>ROUND(IF(Art=1,INDEX(Tabelle,$C37,5),INDEX(Tabelle,$C37,5)),2)</f>
        <v>0</v>
      </c>
      <c r="K37" s="444">
        <f>IF(Art=1,IF(OR(INDEX(Tabelle,$C37,12)="",INDEX(Tabelle,$C37,12)=0.0001),0,INDEX(Tabelle,$C37,12)),0)</f>
        <v>0</v>
      </c>
      <c r="L37" s="444">
        <f>IF(OR(INDEX(Tabelle,$C37,13)="",INDEX(Tabelle,$C37,13)=0.0001),0,INDEX(Tabelle,$C37,13))</f>
        <v>0</v>
      </c>
      <c r="M37" s="443">
        <f>IF(Art=1,ROUND(INDEX(Tabelle,$C37,17),0),0)</f>
        <v>0</v>
      </c>
      <c r="N37" s="443">
        <f>IF(OR(INDEX(Tabelle,$C37,18)="",INDEX(Tabelle,$C37,18)=0.0001),0,INDEX(Tabelle,$C37,18))</f>
        <v>0</v>
      </c>
      <c r="O37" s="913">
        <f>INDEX(Tabelle,$C37,25)</f>
        <v>0</v>
      </c>
      <c r="P37" s="443">
        <f>INDEX(Tabelle,$C37,19)</f>
        <v>0</v>
      </c>
      <c r="Q37" s="443">
        <f>INDEX(Tabelle,$C37,24)</f>
        <v>0</v>
      </c>
      <c r="R37" s="443">
        <f>INDEX(Tabelle,$C37,21)</f>
        <v>0</v>
      </c>
      <c r="S37" s="443">
        <f>INDEX(Tabelle,$C37,20)</f>
        <v>0</v>
      </c>
      <c r="T37" s="444">
        <f>INDEX(Tabelle,$C37,22)</f>
        <v>0</v>
      </c>
      <c r="U37" s="444">
        <f>INDEX(Tabelle,$C37,27)</f>
        <v>0</v>
      </c>
      <c r="V37" s="64">
        <f>IF(H37="",0,IF(TM_FM=2,B37,B37/H37*100))</f>
        <v>0</v>
      </c>
      <c r="W37" s="98">
        <f>IF(H37="",0,IF(TM_FM=1,B37,B37*H37/100))</f>
        <v>0</v>
      </c>
      <c r="X37" s="364">
        <f>IF(G37="G",W37,0)</f>
        <v>0</v>
      </c>
      <c r="Y37" s="66">
        <f>W37*I37</f>
        <v>0</v>
      </c>
      <c r="Z37" s="62">
        <f>W37*J37</f>
        <v>0</v>
      </c>
      <c r="AA37" s="364">
        <f>W37*K37</f>
        <v>0</v>
      </c>
      <c r="AB37" s="364">
        <f>+W37*L37</f>
        <v>0</v>
      </c>
      <c r="AC37" s="62">
        <f>+W37*M37</f>
        <v>0</v>
      </c>
      <c r="AD37" s="62">
        <f t="shared" ref="AD37:AI37" si="17">IF(N37="-","k.A.",N37*$W37)</f>
        <v>0</v>
      </c>
      <c r="AE37" s="431">
        <f>IF(O37="-","k.A.",O37*$W37)</f>
        <v>0</v>
      </c>
      <c r="AF37" s="63">
        <f t="shared" si="17"/>
        <v>0</v>
      </c>
      <c r="AG37" s="364">
        <f t="shared" si="17"/>
        <v>0</v>
      </c>
      <c r="AH37" s="364">
        <f>IF(R37="-","k.A.",R37*$W37)</f>
        <v>0</v>
      </c>
      <c r="AI37" s="364">
        <f t="shared" si="17"/>
        <v>0</v>
      </c>
      <c r="AJ37" s="92">
        <f>+W37*T37</f>
        <v>0</v>
      </c>
      <c r="AK37" s="431">
        <f>IF(U37="-","k.A.",U37*$W37)</f>
        <v>0</v>
      </c>
      <c r="AL37" s="39">
        <f>IF(Tiere&gt;0,Tiere*V37,"")</f>
        <v>0</v>
      </c>
      <c r="AM37" s="693"/>
    </row>
    <row r="38" spans="1:329" ht="18.75" customHeight="1" thickBot="1" x14ac:dyDescent="0.3">
      <c r="A38" s="314"/>
      <c r="B38" s="7">
        <v>0</v>
      </c>
      <c r="C38" s="306">
        <v>15</v>
      </c>
      <c r="D38" s="24">
        <f>INDEX(Tabelle,$C38,2)</f>
        <v>0</v>
      </c>
      <c r="E38" s="331"/>
      <c r="F38" s="332" t="str">
        <f>IF(INDEX(Tabelle,$C38,22)="","",1)</f>
        <v/>
      </c>
      <c r="G38" s="302" t="str">
        <f>IF(INDEX(Tabelle,$C38,1)="G","G",IF(INDEX(Tabelle,$C38,1)="SF","SF",IF(INDEX(Tabelle,$C38,1)="KF","KF","")))</f>
        <v/>
      </c>
      <c r="H38" s="394" t="str">
        <f>IF(OR(INDEX(Tabelle,$C38,3)="",INDEX(Tabelle,$C38,3)=0.0001),"",INDEX(Tabelle,$C38,3)/10)</f>
        <v/>
      </c>
      <c r="I38" s="73">
        <f>ROUND(IF(Art=1,INDEX(Tabelle,$C38,4),INDEX(Tabelle,$C38,5)),2)</f>
        <v>0</v>
      </c>
      <c r="J38" s="73">
        <f>ROUND(IF(Art=1,INDEX(Tabelle,$C38,5),INDEX(Tabelle,$C38,5)),2)</f>
        <v>0</v>
      </c>
      <c r="K38" s="366">
        <f>IF(Art=1,IF(OR(INDEX(Tabelle,$C38,12)="",INDEX(Tabelle,$C38,12)=0.0001),0,INDEX(Tabelle,$C38,12)),0)</f>
        <v>0</v>
      </c>
      <c r="L38" s="366">
        <f>IF(OR(INDEX(Tabelle,$C38,13)="",INDEX(Tabelle,$C38,13)=0.0001),0,INDEX(Tabelle,$C38,13))</f>
        <v>0</v>
      </c>
      <c r="M38" s="73">
        <f>IF(Art=1,ROUND(INDEX(Tabelle,$C38,17),0),0)</f>
        <v>0</v>
      </c>
      <c r="N38" s="73">
        <f>IF(OR(INDEX(Tabelle,$C38,18)="",INDEX(Tabelle,$C38,18)=0.0001),0,INDEX(Tabelle,$C38,18))</f>
        <v>0</v>
      </c>
      <c r="O38" s="895">
        <f>INDEX(Tabelle,$C38,25)</f>
        <v>0</v>
      </c>
      <c r="P38" s="73">
        <f>INDEX(Tabelle,$C38,19)</f>
        <v>0</v>
      </c>
      <c r="Q38" s="73">
        <f>INDEX(Tabelle,$C38,24)</f>
        <v>0</v>
      </c>
      <c r="R38" s="73">
        <f>INDEX(Tabelle,$C38,21)</f>
        <v>0</v>
      </c>
      <c r="S38" s="73">
        <f>INDEX(Tabelle,$C38,20)</f>
        <v>0</v>
      </c>
      <c r="T38" s="366">
        <f>INDEX(Tabelle,$C38,22)</f>
        <v>0</v>
      </c>
      <c r="U38" s="366">
        <f>INDEX(Tabelle,$C38,27)</f>
        <v>0</v>
      </c>
      <c r="V38" s="74">
        <f>IF(H38="",0,IF(TM_FM=2,B38,B38/H38*100))</f>
        <v>0</v>
      </c>
      <c r="W38" s="99">
        <f>IF(H38="",0,IF(TM_FM=1,B38,B38*H38/100))</f>
        <v>0</v>
      </c>
      <c r="X38" s="364">
        <f>IF(G38="G",W38,0)</f>
        <v>0</v>
      </c>
      <c r="Y38" s="76">
        <f>W38*I38</f>
        <v>0</v>
      </c>
      <c r="Z38" s="73">
        <f>W38*J38</f>
        <v>0</v>
      </c>
      <c r="AA38" s="366">
        <f>W38*K38</f>
        <v>0</v>
      </c>
      <c r="AB38" s="366">
        <f>+W38*L38</f>
        <v>0</v>
      </c>
      <c r="AC38" s="73">
        <f>+W38*M38</f>
        <v>0</v>
      </c>
      <c r="AD38" s="73">
        <f>+W38*N38</f>
        <v>0</v>
      </c>
      <c r="AE38" s="433">
        <f>+W38*O38</f>
        <v>0</v>
      </c>
      <c r="AF38" s="76">
        <f>W38*P38</f>
        <v>0</v>
      </c>
      <c r="AG38" s="366">
        <f>+W38*Q38</f>
        <v>0</v>
      </c>
      <c r="AH38" s="366">
        <f>+W38*R38</f>
        <v>0</v>
      </c>
      <c r="AI38" s="73">
        <f>W38*S38</f>
        <v>0</v>
      </c>
      <c r="AJ38" s="409">
        <f>+W38*T38</f>
        <v>0</v>
      </c>
      <c r="AK38" s="433">
        <f>+W38*U38</f>
        <v>0</v>
      </c>
      <c r="AL38" s="435">
        <f>IF(Tiere&gt;0,Tiere*V38,"")</f>
        <v>0</v>
      </c>
      <c r="AM38" s="693"/>
    </row>
    <row r="39" spans="1:329" s="32" customFormat="1" ht="42" customHeight="1" thickBot="1" x14ac:dyDescent="0.3">
      <c r="A39" s="307"/>
      <c r="B39" s="695" t="str">
        <f>B18&amp;", "&amp;B19</f>
        <v>TM, kg</v>
      </c>
      <c r="C39" s="333"/>
      <c r="D39" s="330"/>
      <c r="E39" s="330"/>
      <c r="F39" s="334"/>
      <c r="G39" s="335"/>
      <c r="H39" s="334"/>
      <c r="I39" s="318"/>
      <c r="J39" s="318"/>
      <c r="K39" s="318"/>
      <c r="L39" s="316"/>
      <c r="M39" s="318"/>
      <c r="N39" s="318"/>
      <c r="O39" s="322"/>
      <c r="P39" s="322"/>
      <c r="Q39" s="322"/>
      <c r="R39" s="322"/>
      <c r="S39" s="322"/>
      <c r="T39" s="322"/>
      <c r="U39" s="322"/>
      <c r="V39" s="101" t="s">
        <v>57</v>
      </c>
      <c r="W39" s="102" t="s">
        <v>58</v>
      </c>
      <c r="X39" s="103"/>
      <c r="Y39" s="104" t="str">
        <f>"ME_FAN1 "&amp;Y11</f>
        <v>ME_FAN1 MJ</v>
      </c>
      <c r="Z39" s="105" t="e">
        <f>"ME_FAN"&amp;ROUND(H9,1)&amp;CHAR(10)&amp;Y11</f>
        <v>#DIV/0!</v>
      </c>
      <c r="AA39" s="105" t="str">
        <f>+"sidP_FAN1 "              &amp;  Z11</f>
        <v>sidP_FAN1 g</v>
      </c>
      <c r="AB39" s="105" t="e">
        <f>"sidP_FAN"&amp;ROUND(H9,1)&amp;CHAR(10)&amp;Z11</f>
        <v>#DIV/0!</v>
      </c>
      <c r="AC39" s="105" t="str">
        <f>" RMD_FAN1 "</f>
        <v xml:space="preserve"> RMD_FAN1 </v>
      </c>
      <c r="AD39" s="524" t="e">
        <f>" RMD_FAN"&amp;ROUND(H9,1)
&amp;AA11</f>
        <v>#DIV/0!</v>
      </c>
      <c r="AE39" s="480" t="str">
        <f>+AE10&amp;"  "&amp;AE11</f>
        <v xml:space="preserve">aNDFomGF  &gt; 280 g/kg TM </v>
      </c>
      <c r="AF39" s="104" t="str">
        <f>+AC10&amp;"          "&amp;AC11</f>
        <v xml:space="preserve">ST+ZU-bST          &lt; 250 g/kg TM </v>
      </c>
      <c r="AG39" s="105" t="str">
        <f>+AD10&amp;"          "&amp;AD11</f>
        <v xml:space="preserve">aNDFom          &gt; 350 g/kg TM </v>
      </c>
      <c r="AH39" s="105" t="str">
        <f>+AB10&amp;"                  "&amp;AB11</f>
        <v>ST                  &lt; 200g/kg TM</v>
      </c>
      <c r="AI39" s="106" t="str">
        <f>+AF10&amp;"             "&amp;AF11</f>
        <v>bST             &lt; 50 g/kg TM</v>
      </c>
      <c r="AJ39" s="105" t="str">
        <f>+AG10&amp;"                         "&amp;AG11</f>
        <v xml:space="preserve">ZU                         &lt; 75 g/kg TM </v>
      </c>
      <c r="AK39" s="339" t="str">
        <f>+AH10&amp;"                            "&amp;AH11</f>
        <v xml:space="preserve">CL                            &lt; 40 g/kg TM </v>
      </c>
      <c r="AL39" s="461" t="str">
        <f>"SI &gt;"&amp;SImin</f>
        <v>SI &gt;50</v>
      </c>
      <c r="AM39" s="383"/>
      <c r="AN39" s="585"/>
      <c r="AO39" s="585"/>
      <c r="AP39" s="585"/>
      <c r="AQ39" s="585"/>
      <c r="AR39" s="585"/>
      <c r="AS39" s="585"/>
      <c r="AT39" s="585"/>
      <c r="AU39" s="585"/>
      <c r="AV39" s="585"/>
      <c r="AW39" s="585"/>
      <c r="AX39" s="585"/>
      <c r="AY39" s="585"/>
      <c r="AZ39" s="585"/>
      <c r="BA39" s="585"/>
      <c r="BB39" s="585"/>
      <c r="BC39" s="585"/>
      <c r="BD39" s="585"/>
      <c r="BE39" s="585"/>
      <c r="BF39" s="585"/>
      <c r="BG39" s="585"/>
      <c r="BH39" s="585"/>
      <c r="BI39" s="585"/>
      <c r="BJ39" s="585"/>
      <c r="BK39" s="585"/>
      <c r="BL39" s="585"/>
      <c r="BM39" s="585"/>
      <c r="BN39" s="585"/>
      <c r="BO39" s="585"/>
      <c r="BP39" s="585"/>
      <c r="BQ39" s="585"/>
      <c r="BR39" s="585"/>
      <c r="BS39" s="585"/>
      <c r="BT39" s="585"/>
      <c r="BU39" s="585"/>
      <c r="BV39" s="585"/>
      <c r="BW39" s="585"/>
      <c r="BX39" s="585"/>
      <c r="BY39" s="585"/>
      <c r="BZ39" s="585"/>
      <c r="CA39" s="585"/>
      <c r="CB39" s="585"/>
      <c r="CC39" s="585"/>
      <c r="CD39" s="585"/>
      <c r="CE39" s="585"/>
      <c r="CF39" s="585"/>
      <c r="CG39" s="585"/>
      <c r="CH39" s="585"/>
      <c r="CI39" s="585"/>
      <c r="CJ39" s="585"/>
      <c r="CK39" s="585"/>
      <c r="CL39" s="585"/>
      <c r="CM39" s="585"/>
      <c r="CN39" s="585"/>
      <c r="CO39" s="585"/>
      <c r="CP39" s="585"/>
      <c r="CQ39" s="585"/>
      <c r="CR39" s="585"/>
      <c r="CS39" s="585"/>
      <c r="CT39" s="585"/>
      <c r="CU39" s="585"/>
      <c r="CV39" s="585"/>
      <c r="CW39" s="585"/>
      <c r="CX39" s="585"/>
      <c r="CY39" s="585"/>
      <c r="CZ39" s="585"/>
      <c r="DA39" s="585"/>
      <c r="DB39" s="585"/>
      <c r="DC39" s="585"/>
      <c r="DD39" s="585"/>
      <c r="DE39" s="585"/>
      <c r="DF39" s="585"/>
      <c r="DG39" s="585"/>
      <c r="DH39" s="585"/>
      <c r="DI39" s="585"/>
      <c r="DJ39" s="585"/>
      <c r="DK39" s="585"/>
      <c r="DL39" s="585"/>
      <c r="DM39" s="585"/>
      <c r="DN39" s="585"/>
      <c r="DO39" s="585"/>
      <c r="DP39" s="585"/>
      <c r="DQ39" s="585"/>
      <c r="DR39" s="585"/>
      <c r="DS39" s="585"/>
      <c r="DT39" s="585"/>
      <c r="DU39" s="585"/>
      <c r="DV39" s="585"/>
      <c r="DW39" s="585"/>
      <c r="DX39" s="585"/>
      <c r="DY39" s="585"/>
      <c r="DZ39" s="585"/>
      <c r="EA39" s="585"/>
      <c r="EB39" s="585"/>
      <c r="EC39" s="585"/>
      <c r="ED39" s="585"/>
      <c r="EE39" s="585"/>
      <c r="EF39" s="585"/>
      <c r="EG39" s="585"/>
      <c r="EH39" s="585"/>
      <c r="EI39" s="585"/>
      <c r="EJ39" s="585"/>
      <c r="EK39" s="585"/>
      <c r="EL39" s="585"/>
      <c r="EM39" s="585"/>
      <c r="EN39" s="585"/>
      <c r="EO39" s="585"/>
      <c r="EP39" s="585"/>
      <c r="EQ39" s="585"/>
      <c r="ER39" s="585"/>
      <c r="ES39" s="585"/>
      <c r="ET39" s="585"/>
      <c r="EU39" s="585"/>
      <c r="EV39" s="585"/>
      <c r="EW39" s="585"/>
      <c r="EX39" s="585"/>
      <c r="EY39" s="585"/>
      <c r="EZ39" s="585"/>
      <c r="FA39" s="585"/>
      <c r="FB39" s="585"/>
      <c r="FC39" s="585"/>
      <c r="FD39" s="585"/>
      <c r="FE39" s="585"/>
      <c r="FF39" s="585"/>
      <c r="FG39" s="585"/>
      <c r="FH39" s="585"/>
      <c r="FI39" s="585"/>
      <c r="FJ39" s="585"/>
      <c r="FK39" s="585"/>
      <c r="FL39" s="585"/>
      <c r="FM39" s="585"/>
      <c r="FN39" s="585"/>
      <c r="FO39" s="585"/>
      <c r="FP39" s="585"/>
      <c r="FQ39" s="585"/>
      <c r="FR39" s="585"/>
      <c r="FS39" s="585"/>
      <c r="FT39" s="585"/>
      <c r="FU39" s="585"/>
      <c r="FV39" s="585"/>
      <c r="FW39" s="585"/>
      <c r="FX39" s="585"/>
      <c r="FY39" s="585"/>
      <c r="FZ39" s="585"/>
      <c r="GA39" s="585"/>
      <c r="GB39" s="585"/>
      <c r="GC39" s="585"/>
      <c r="GD39" s="585"/>
      <c r="GE39" s="585"/>
      <c r="GF39" s="585"/>
      <c r="GG39" s="585"/>
      <c r="GH39" s="585"/>
      <c r="GI39" s="585"/>
      <c r="GJ39" s="585"/>
      <c r="GK39" s="585"/>
      <c r="GL39" s="585"/>
      <c r="GM39" s="585"/>
      <c r="GN39" s="585"/>
      <c r="GO39" s="585"/>
      <c r="GP39" s="585"/>
      <c r="GQ39" s="585"/>
      <c r="GR39" s="585"/>
      <c r="GS39" s="585"/>
      <c r="GT39" s="585"/>
      <c r="GU39" s="585"/>
      <c r="GV39" s="585"/>
      <c r="GW39" s="585"/>
      <c r="GX39" s="585"/>
      <c r="GY39" s="585"/>
      <c r="GZ39" s="585"/>
      <c r="HA39" s="585"/>
      <c r="HB39" s="585"/>
      <c r="HC39" s="585"/>
      <c r="HD39" s="585"/>
      <c r="HE39" s="585"/>
      <c r="HF39" s="585"/>
      <c r="HG39" s="585"/>
      <c r="HH39" s="585"/>
      <c r="HI39" s="585"/>
      <c r="HJ39" s="585"/>
      <c r="HK39" s="585"/>
      <c r="HL39" s="585"/>
      <c r="HM39" s="585"/>
      <c r="HN39" s="585"/>
      <c r="HO39" s="585"/>
      <c r="HP39" s="585"/>
      <c r="HQ39" s="585"/>
      <c r="HR39" s="585"/>
      <c r="HS39" s="585"/>
      <c r="HT39" s="585"/>
      <c r="HU39" s="585"/>
      <c r="HV39" s="585"/>
      <c r="HW39" s="585"/>
      <c r="HX39" s="585"/>
      <c r="HY39" s="585"/>
      <c r="HZ39" s="585"/>
      <c r="IA39" s="585"/>
      <c r="IB39" s="585"/>
      <c r="IC39" s="585"/>
      <c r="ID39" s="585"/>
      <c r="IE39" s="585"/>
      <c r="IF39" s="585"/>
      <c r="IG39" s="585"/>
      <c r="IH39" s="585"/>
      <c r="II39" s="585"/>
      <c r="IJ39" s="585"/>
      <c r="IK39" s="585"/>
      <c r="IL39" s="585"/>
      <c r="IM39" s="585"/>
      <c r="IN39" s="585"/>
      <c r="IO39" s="585"/>
      <c r="IP39" s="585"/>
      <c r="IQ39" s="585"/>
      <c r="IR39" s="585"/>
      <c r="IS39" s="585"/>
      <c r="IT39" s="585"/>
      <c r="IU39" s="585"/>
      <c r="IV39" s="585"/>
      <c r="IW39" s="585"/>
      <c r="IX39" s="585"/>
      <c r="IY39" s="585"/>
      <c r="IZ39" s="585"/>
      <c r="JA39" s="585"/>
      <c r="JB39" s="585"/>
      <c r="JC39" s="585"/>
      <c r="JD39" s="585"/>
      <c r="JE39" s="585"/>
      <c r="JF39" s="585"/>
      <c r="JG39" s="585"/>
      <c r="JH39" s="585"/>
      <c r="JI39" s="585"/>
      <c r="JJ39" s="585"/>
      <c r="JK39" s="585"/>
      <c r="JL39" s="585"/>
      <c r="JM39" s="585"/>
      <c r="JN39" s="585"/>
      <c r="JO39" s="585"/>
      <c r="JP39" s="585"/>
      <c r="JQ39" s="585"/>
      <c r="JR39" s="585"/>
      <c r="JS39" s="585"/>
      <c r="JT39" s="585"/>
      <c r="JU39" s="585"/>
      <c r="JV39" s="585"/>
      <c r="JW39" s="585"/>
      <c r="JX39" s="585"/>
      <c r="JY39" s="585"/>
      <c r="JZ39" s="585"/>
      <c r="KA39" s="585"/>
      <c r="KB39" s="585"/>
      <c r="KC39" s="585"/>
      <c r="KD39" s="585"/>
      <c r="KE39" s="585"/>
      <c r="KF39" s="585"/>
      <c r="KG39" s="585"/>
      <c r="KH39" s="585"/>
      <c r="KI39" s="585"/>
      <c r="KJ39" s="585"/>
      <c r="KK39" s="585"/>
      <c r="KL39" s="585"/>
      <c r="KM39" s="585"/>
      <c r="KN39" s="585"/>
      <c r="KO39" s="585"/>
      <c r="KP39" s="585"/>
      <c r="KQ39" s="585"/>
      <c r="KR39" s="585"/>
      <c r="KS39" s="585"/>
      <c r="KT39" s="585"/>
      <c r="KU39" s="585"/>
      <c r="KV39" s="585"/>
      <c r="KW39" s="585"/>
      <c r="KX39" s="585"/>
      <c r="KY39" s="585"/>
      <c r="KZ39" s="585"/>
      <c r="LA39" s="585"/>
      <c r="LB39" s="585"/>
      <c r="LC39" s="585"/>
      <c r="LD39" s="585"/>
      <c r="LE39" s="585"/>
      <c r="LF39" s="585"/>
      <c r="LG39" s="585"/>
      <c r="LH39" s="585"/>
      <c r="LI39" s="585"/>
      <c r="LJ39" s="585"/>
      <c r="LK39" s="585"/>
      <c r="LL39" s="585"/>
      <c r="LM39" s="585"/>
      <c r="LN39" s="585"/>
      <c r="LO39" s="585"/>
      <c r="LP39" s="585"/>
      <c r="LQ39" s="585"/>
    </row>
    <row r="40" spans="1:329" ht="17.25" customHeight="1" thickBot="1" x14ac:dyDescent="0.3">
      <c r="A40" s="314"/>
      <c r="B40" s="696">
        <f>SUM(B20:B24,B28:B32,B37:B38)</f>
        <v>0</v>
      </c>
      <c r="C40" s="336"/>
      <c r="D40" s="315"/>
      <c r="E40" s="315"/>
      <c r="F40" s="315"/>
      <c r="G40" s="315"/>
      <c r="H40" s="315"/>
      <c r="I40" s="315"/>
      <c r="J40" s="315"/>
      <c r="K40" s="315"/>
      <c r="L40" s="315"/>
      <c r="M40" s="315"/>
      <c r="N40" s="315"/>
      <c r="O40" s="315"/>
      <c r="P40" s="697" t="s">
        <v>45</v>
      </c>
      <c r="Q40" s="697"/>
      <c r="R40" s="697"/>
      <c r="S40" s="697"/>
      <c r="T40" s="697"/>
      <c r="U40" s="697"/>
      <c r="V40" s="107">
        <f>V33+V37+V38</f>
        <v>0</v>
      </c>
      <c r="W40" s="108">
        <f>W33+W37+W38</f>
        <v>0</v>
      </c>
      <c r="X40" s="109"/>
      <c r="Y40" s="420">
        <f>Y33+Y37+Y38</f>
        <v>0</v>
      </c>
      <c r="Z40" s="525">
        <f>Z33+Z37+Z38</f>
        <v>0</v>
      </c>
      <c r="AA40" s="421">
        <f>AA33+AA37+AA38</f>
        <v>0</v>
      </c>
      <c r="AB40" s="481">
        <f>AB33+AB37+AB38</f>
        <v>0</v>
      </c>
      <c r="AC40" s="421">
        <f>AC33+AC37+AC38</f>
        <v>0</v>
      </c>
      <c r="AD40" s="525">
        <f>IF( OR(,AD33="k.A.",AD37="k.A.",AD38="k.A."),"k.A.",SUM(AD33,AD37:AD38))</f>
        <v>0</v>
      </c>
      <c r="AE40" s="487">
        <f>AE33+AE37+AE38</f>
        <v>0</v>
      </c>
      <c r="AF40" s="488">
        <f>AF33+AF37+AF38</f>
        <v>0</v>
      </c>
      <c r="AG40" s="481">
        <f>IF( OR(,AG33="k.A.",AG37="k.A.",AG38="k.A."),"k.A.",SUM(AG33,AG37:AG38))</f>
        <v>0</v>
      </c>
      <c r="AH40" s="481">
        <f>AH33+AH37+AH38</f>
        <v>0</v>
      </c>
      <c r="AI40" s="481">
        <f>AI33+AI37+AI38</f>
        <v>0</v>
      </c>
      <c r="AJ40" s="481">
        <f>IF( OR(,AJ33="k.A.",AJ37="k.A.",AJ38="k.A."),"k.A.",SUM(AJ33,AJ37:AJ38))</f>
        <v>0</v>
      </c>
      <c r="AK40" s="487">
        <f>AK33+AK37+AK38</f>
        <v>0</v>
      </c>
      <c r="AL40" s="927">
        <f>AH40/1000/(AH40/1000+(AF40/1000-2.8)/0.36)*100</f>
        <v>0</v>
      </c>
      <c r="AM40" s="693"/>
    </row>
    <row r="41" spans="1:329" ht="17.25" customHeight="1" thickBot="1" x14ac:dyDescent="0.3">
      <c r="A41" s="314"/>
      <c r="B41" s="315"/>
      <c r="C41" s="315"/>
      <c r="D41" s="316"/>
      <c r="E41" s="337"/>
      <c r="F41" s="316"/>
      <c r="G41" s="316"/>
      <c r="H41" s="316"/>
      <c r="I41" s="698"/>
      <c r="J41" s="316"/>
      <c r="K41" s="316"/>
      <c r="L41" s="316"/>
      <c r="M41" s="316"/>
      <c r="N41" s="316"/>
      <c r="O41" s="315"/>
      <c r="P41" s="697" t="s">
        <v>45</v>
      </c>
      <c r="Q41" s="697"/>
      <c r="R41" s="697"/>
      <c r="S41" s="697"/>
      <c r="T41" s="697"/>
      <c r="U41" s="697"/>
      <c r="V41" s="110" t="s">
        <v>54</v>
      </c>
      <c r="W41" s="111" t="str">
        <f>IF(W40=0,"",TS/V40)</f>
        <v/>
      </c>
      <c r="X41" s="112"/>
      <c r="Y41" s="486" t="str">
        <f>IF($W$40&gt;0,Y40/$W$40,"")</f>
        <v/>
      </c>
      <c r="Z41" s="483" t="str">
        <f t="shared" ref="Z41" si="18">IF($W$40&gt;0,Z40/$W$40,"")</f>
        <v/>
      </c>
      <c r="AA41" s="482" t="str">
        <f>IF($W$40&gt;0,AA40/$W$40,"")</f>
        <v/>
      </c>
      <c r="AB41" s="482" t="str">
        <f>IF($W$40&gt;0,AB40/$W$40,"")</f>
        <v/>
      </c>
      <c r="AC41" s="483" t="str">
        <f>IF($W$40&gt;0,AC40/$W$40,"")</f>
        <v/>
      </c>
      <c r="AD41" s="483" t="str">
        <f>IF($W$40&gt;0,AD40/$W$40,"")</f>
        <v/>
      </c>
      <c r="AE41" s="484" t="str">
        <f>IF($W$40&gt;0,AE40/$W$40,"")</f>
        <v/>
      </c>
      <c r="AF41" s="459" t="str">
        <f t="shared" ref="AF41:AK41" si="19">IF($W$40&gt;0,AF40/$W$40,"")</f>
        <v/>
      </c>
      <c r="AG41" s="482" t="str">
        <f t="shared" si="19"/>
        <v/>
      </c>
      <c r="AH41" s="482" t="str">
        <f>IF($W$40&gt;0,AH40/$W$40,"")</f>
        <v/>
      </c>
      <c r="AI41" s="482" t="str">
        <f t="shared" si="19"/>
        <v/>
      </c>
      <c r="AJ41" s="482" t="str">
        <f t="shared" si="19"/>
        <v/>
      </c>
      <c r="AK41" s="484" t="str">
        <f t="shared" si="19"/>
        <v/>
      </c>
      <c r="AL41" s="928"/>
      <c r="AM41" s="693"/>
    </row>
    <row r="42" spans="1:329" ht="17.25" customHeight="1" thickBot="1" x14ac:dyDescent="0.3">
      <c r="A42" s="314"/>
      <c r="B42" s="315"/>
      <c r="C42" s="336"/>
      <c r="D42" s="315"/>
      <c r="E42" s="315"/>
      <c r="F42" s="315"/>
      <c r="G42" s="318"/>
      <c r="H42" s="315"/>
      <c r="I42" s="315"/>
      <c r="J42" s="315"/>
      <c r="K42" s="315"/>
      <c r="L42" s="315"/>
      <c r="M42" s="315"/>
      <c r="N42" s="315"/>
      <c r="O42" s="315"/>
      <c r="P42" s="697" t="s">
        <v>45</v>
      </c>
      <c r="Q42" s="697"/>
      <c r="R42" s="697"/>
      <c r="S42" s="697"/>
      <c r="T42" s="697"/>
      <c r="U42" s="697"/>
      <c r="V42" s="113" t="s">
        <v>85</v>
      </c>
      <c r="W42" s="114" t="str">
        <f>IF(TS=0,"",IF(W40&lt;ITmin*W15,ROUND((W40-W15)/W15,0),IF(W40&lt;ITmin*1.05*W15,"!",IF(W40&gt;ITmax*W15,"+"&amp;ROUND((W40-W15)/W15*100,0)&amp;"%",IF(W40&gt;ITmax*0.95*W15,"!","")))))</f>
        <v/>
      </c>
      <c r="X42" s="114"/>
      <c r="Y42" s="471"/>
      <c r="Z42" s="876" t="str">
        <f>IF(Z40&lt;MEmin*Y15,ROUND((Z40-Y15)/Y15,0),IF(Z40&lt;MEmin*1.05*Y15,"!",IF(Z40&gt;Memax*Y15,"+"&amp;ROUND((Z40-Y15)/Y15*100,0)&amp;"%",IF(Z40&gt;Memax*0.95*Y15,"!",""))))</f>
        <v/>
      </c>
      <c r="AA42" s="96"/>
      <c r="AB42" s="131" t="str">
        <f>IF(AB40&lt;nXPmin*Z15,ROUND((AB40-Z15)/Z15,0),IF(AB40&lt;nXPmin*1.05*Z15,"!",IF(AB40&gt;nXPmax*Z15,"+"&amp;ROUND((AB40-Z15)/Z15*100,0)&amp;"%",IF(AB40&gt;nXPmax*0.95*Z15,"!",""))))</f>
        <v/>
      </c>
      <c r="AC42" s="410"/>
      <c r="AD42" s="875" t="e">
        <f>IF(M_kg="T",IF(AD41&gt;RNB_t_max+0.3,AD41-RNB_t_max,IF(AD41&lt;RNB_t_min-0.3,IF(AD41&lt;RNB_t_min-0.3,AD41-RNB_t_min),IF(OR(AD41&lt;RNB_t_min,AD41&gt;RNB_t_max),"!",""))),IF(AD41&lt;RNBmin-0.2,AD41-RNBmin,IF(AD41&gt;RNBmax+0.2,AD41-RNBmax,IF(OR(AD41&lt;RNBmin,AD41&gt;RNBmax),"!",""))))</f>
        <v>#VALUE!</v>
      </c>
      <c r="AE42" s="460" t="str">
        <f>IF(AE41&lt;aNDFomGF_min,ROUND((AE41-aNDFomGF_min)/aNDFomGF_min*100,0)&amp;"%",IF(AE41&lt;aNDFomGF_min*1.05,"!",""))</f>
        <v/>
      </c>
      <c r="AF42" s="445" t="str">
        <f>IF(W40=0,"",IF(AF41&gt;pab_max,"+"&amp;ROUND((AF41-pab_max)/pab_max*100,0)&amp;"%",IF(AF41&gt;pab_max*0.95,"!","")))</f>
        <v/>
      </c>
      <c r="AG42" s="115" t="str">
        <f>IF(AG41&lt;NDFmin,ROUND((AG41-NDFmin)/NDFmin*100,0)&amp;"%",IF(AG41&lt;NDFmin*1.05,"!",""))</f>
        <v/>
      </c>
      <c r="AH42" s="115" t="str">
        <f>IF(W40=0,"",IF(AH41&gt;XSmax,"+"&amp;ROUND((AH41-XSmax)/XSmax*100,0)&amp;"%",IF(AH41&gt;XSmax*0.95,"!","")))</f>
        <v/>
      </c>
      <c r="AI42" s="115" t="str">
        <f>IF(W40=0,"",IF(AI41&gt;50,"+"&amp;ROUND((AI41-50)/50*100,0)&amp;"%",IF(AI41&gt;50*0.95,"!","")))</f>
        <v/>
      </c>
      <c r="AJ42" s="115" t="str">
        <f>IF(W40=0,"",IF(AJ41&gt;XZmax,"+"&amp;ROUND((AJ41-XZmax)/XZmax*100,0)&amp;"%",IF(AJ41&gt;XZmax*0.95,"!","")))</f>
        <v/>
      </c>
      <c r="AK42" s="463" t="str">
        <f>IF(W40=0,"",IF(AK41&gt;XLmax,"+"&amp;ROUND((AK41-XLmax)/XLmax*100,0)&amp;"%",IF(AK41&gt;XLmax*0.95,"!","")))</f>
        <v/>
      </c>
      <c r="AL42" s="462" t="str">
        <f>IF(AL40&lt;SImin,ROUND((AL40-SImin)/SImin*100,0)&amp;"%",IF(AL40&lt;SImin*1.05,"!",""))</f>
        <v>-100%</v>
      </c>
      <c r="AM42" s="693"/>
    </row>
    <row r="43" spans="1:329" ht="17.25" customHeight="1" thickBot="1" x14ac:dyDescent="0.3">
      <c r="A43" s="319"/>
      <c r="B43" s="315"/>
      <c r="C43" s="315"/>
      <c r="D43" s="316"/>
      <c r="E43" s="316"/>
      <c r="F43" s="316"/>
      <c r="G43" s="317"/>
      <c r="H43" s="316"/>
      <c r="I43" s="316"/>
      <c r="J43" s="316"/>
      <c r="K43" s="316"/>
      <c r="L43" s="316"/>
      <c r="M43" s="316"/>
      <c r="N43" s="316"/>
      <c r="O43" s="315"/>
      <c r="P43" s="697" t="s">
        <v>46</v>
      </c>
      <c r="Q43" s="697"/>
      <c r="R43" s="697"/>
      <c r="S43" s="697"/>
      <c r="T43" s="697"/>
      <c r="U43" s="697"/>
      <c r="V43" s="44"/>
      <c r="W43" s="116" t="str">
        <f>IF(W15="Daten?","",IF(OR(W40&gt;1.1*W15,W40&lt;0.9*W15),"Die TM-Aufnahme sollte überprüft werden!","Soll "&amp;ROUND(W15,1)))</f>
        <v>Soll 0</v>
      </c>
      <c r="X43" s="116"/>
      <c r="Y43" s="117"/>
      <c r="Z43" s="489">
        <f>IF(Y12=0,0,(Z40-Y14)/Y12)</f>
        <v>0</v>
      </c>
      <c r="AA43" s="489"/>
      <c r="AB43" s="490">
        <f>IF(Z12=0,0,(AB40-Z14)/Z12)</f>
        <v>0</v>
      </c>
      <c r="AC43" s="52" t="s">
        <v>16</v>
      </c>
      <c r="AD43" s="97" t="str">
        <f>IF(OR(AC40="k.A.",V40=0),"",+AC40/$V40*0.001)</f>
        <v/>
      </c>
      <c r="AE43" s="78"/>
      <c r="AF43" s="78"/>
      <c r="AG43" s="78" t="str">
        <f>IF(V40=0,"",+AF40/$V40*0.001)</f>
        <v/>
      </c>
      <c r="AH43" s="78"/>
      <c r="AI43" s="78"/>
      <c r="AJ43" s="78"/>
      <c r="AK43" s="78"/>
      <c r="AL43" s="52"/>
      <c r="AM43" s="694"/>
    </row>
    <row r="44" spans="1:329" ht="4.5" customHeight="1" thickBot="1" x14ac:dyDescent="0.3">
      <c r="A44" s="319"/>
      <c r="B44" s="315"/>
      <c r="C44" s="315"/>
      <c r="D44" s="316"/>
      <c r="E44" s="316"/>
      <c r="F44" s="316"/>
      <c r="G44" s="317"/>
      <c r="H44" s="316"/>
      <c r="I44" s="316"/>
      <c r="J44" s="316"/>
      <c r="K44" s="316"/>
      <c r="L44" s="316"/>
      <c r="M44" s="316"/>
      <c r="N44" s="316"/>
      <c r="O44" s="315"/>
      <c r="P44" s="697"/>
      <c r="Q44" s="697"/>
      <c r="R44" s="697"/>
      <c r="S44" s="697"/>
      <c r="T44" s="697"/>
      <c r="U44" s="697"/>
      <c r="V44" s="44"/>
      <c r="W44" s="100"/>
      <c r="X44" s="100"/>
      <c r="Y44" s="100"/>
      <c r="Z44" s="100"/>
      <c r="AA44" s="52"/>
      <c r="AB44" s="78"/>
      <c r="AC44" s="97"/>
      <c r="AD44" s="97"/>
      <c r="AE44" s="78"/>
      <c r="AF44" s="78"/>
      <c r="AG44" s="485"/>
      <c r="AH44" s="78"/>
      <c r="AI44" s="78"/>
      <c r="AJ44" s="78"/>
      <c r="AK44" s="78"/>
      <c r="AL44" s="78"/>
      <c r="AM44" s="694"/>
    </row>
    <row r="45" spans="1:329" ht="15" customHeight="1" x14ac:dyDescent="0.25">
      <c r="A45" s="319"/>
      <c r="B45" s="315"/>
      <c r="C45" s="315"/>
      <c r="D45" s="316"/>
      <c r="E45" s="316"/>
      <c r="F45" s="316"/>
      <c r="G45" s="317"/>
      <c r="H45" s="316"/>
      <c r="I45" s="316"/>
      <c r="J45" s="316"/>
      <c r="K45" s="316"/>
      <c r="L45" s="316"/>
      <c r="M45" s="316"/>
      <c r="N45" s="316"/>
      <c r="O45" s="315"/>
      <c r="P45" s="697"/>
      <c r="Q45" s="697"/>
      <c r="R45" s="697"/>
      <c r="S45" s="697"/>
      <c r="T45" s="697"/>
      <c r="U45" s="697"/>
      <c r="V45" s="118" t="s">
        <v>18</v>
      </c>
      <c r="W45" s="119"/>
      <c r="X45" s="119"/>
      <c r="Y45" s="56" t="str">
        <f>'Ration Milch-Mineralstoffe'!N14</f>
        <v>Ca</v>
      </c>
      <c r="Z45" s="57" t="str">
        <f>'Ration Milch-Mineralstoffe'!O14</f>
        <v>P</v>
      </c>
      <c r="AA45" s="57" t="str">
        <f>'Ration Milch-Mineralstoffe'!P14</f>
        <v>Mg</v>
      </c>
      <c r="AB45" s="57" t="str">
        <f>'Ration Milch-Mineralstoffe'!Q14</f>
        <v>Na</v>
      </c>
      <c r="AC45" s="57" t="str">
        <f>'Ration Milch-Mineralstoffe'!R14</f>
        <v>K</v>
      </c>
      <c r="AD45" s="57" t="str">
        <f>'Ration Milch-Mineralstoffe'!S14</f>
        <v>Se</v>
      </c>
      <c r="AE45" s="120" t="str">
        <f>'Ration Milch-Mineralstoffe'!T14</f>
        <v>DCAB</v>
      </c>
      <c r="AF45" s="132"/>
      <c r="AG45" s="132"/>
      <c r="AH45" s="132"/>
      <c r="AI45" s="132"/>
      <c r="AJ45" s="132"/>
      <c r="AK45" s="132"/>
      <c r="AL45" s="78"/>
      <c r="AM45" s="694"/>
    </row>
    <row r="46" spans="1:329" ht="21.65" customHeight="1" thickBot="1" x14ac:dyDescent="0.3">
      <c r="A46" s="319"/>
      <c r="B46" s="315"/>
      <c r="C46" s="315"/>
      <c r="D46" s="316"/>
      <c r="E46" s="316"/>
      <c r="F46" s="316"/>
      <c r="G46" s="317"/>
      <c r="H46" s="316"/>
      <c r="I46" s="316"/>
      <c r="J46" s="316"/>
      <c r="K46" s="316"/>
      <c r="L46" s="316"/>
      <c r="M46" s="316"/>
      <c r="N46" s="316"/>
      <c r="O46" s="315"/>
      <c r="P46" s="697"/>
      <c r="Q46" s="697"/>
      <c r="R46" s="697"/>
      <c r="S46" s="697"/>
      <c r="T46" s="697"/>
      <c r="U46" s="697"/>
      <c r="V46" s="121"/>
      <c r="W46" s="122" t="s">
        <v>95</v>
      </c>
      <c r="X46" s="122"/>
      <c r="Y46" s="123" t="e">
        <f>'Ration Milch-Mineralstoffe'!N11/'Ration Milch-Mineralstoffe'!M7</f>
        <v>#DIV/0!</v>
      </c>
      <c r="Z46" s="124" t="e">
        <f>'Ration Milch-Mineralstoffe'!O11/'Ration Milch-Mineralstoffe'!M7</f>
        <v>#DIV/0!</v>
      </c>
      <c r="AA46" s="124" t="e">
        <f>'Ration Milch-Mineralstoffe'!P11/'Ration Milch-Mineralstoffe'!M7</f>
        <v>#DIV/0!</v>
      </c>
      <c r="AB46" s="124" t="e">
        <f>'Ration Milch-Mineralstoffe'!Q11/'Ration Milch-Mineralstoffe'!M7</f>
        <v>#DIV/0!</v>
      </c>
      <c r="AC46" s="124" t="e">
        <f>'Ration Milch-Mineralstoffe'!R11/'Ration Milch-Mineralstoffe'!M7</f>
        <v>#DIV/0!</v>
      </c>
      <c r="AD46" s="124" t="e">
        <f>'Ration Milch-Mineralstoffe'!S11/'Ration Milch-Mineralstoffe'!M7</f>
        <v>#DIV/0!</v>
      </c>
      <c r="AE46" s="909" t="str">
        <f>'Ration Milch-Mineralstoffe'!T11&amp;"                   meq/kg TM"</f>
        <v>200-350                   meq/kg TM</v>
      </c>
      <c r="AF46" s="132"/>
      <c r="AG46" s="132"/>
      <c r="AH46" s="132"/>
      <c r="AI46" s="132"/>
      <c r="AJ46" s="132"/>
      <c r="AK46" s="132"/>
      <c r="AL46" s="78"/>
      <c r="AM46" s="694"/>
    </row>
    <row r="47" spans="1:329" ht="18.75" customHeight="1" thickBot="1" x14ac:dyDescent="0.3">
      <c r="A47" s="319"/>
      <c r="B47" s="315"/>
      <c r="C47" s="315"/>
      <c r="D47" s="316"/>
      <c r="E47" s="316"/>
      <c r="F47" s="316"/>
      <c r="G47" s="317"/>
      <c r="H47" s="316"/>
      <c r="I47" s="316"/>
      <c r="J47" s="316"/>
      <c r="K47" s="316"/>
      <c r="L47" s="316"/>
      <c r="M47" s="316"/>
      <c r="N47" s="316"/>
      <c r="O47" s="315"/>
      <c r="P47" s="697"/>
      <c r="Q47" s="697"/>
      <c r="R47" s="697"/>
      <c r="S47" s="697"/>
      <c r="T47" s="697"/>
      <c r="U47" s="697"/>
      <c r="V47" s="121"/>
      <c r="W47" s="122" t="s">
        <v>96</v>
      </c>
      <c r="X47" s="122"/>
      <c r="Y47" s="125" t="str">
        <f>'Ration Milch-Mineralstoffe'!N38</f>
        <v/>
      </c>
      <c r="Z47" s="126" t="str">
        <f>'Ration Milch-Mineralstoffe'!O38</f>
        <v/>
      </c>
      <c r="AA47" s="126" t="str">
        <f>'Ration Milch-Mineralstoffe'!P38</f>
        <v/>
      </c>
      <c r="AB47" s="126" t="str">
        <f>'Ration Milch-Mineralstoffe'!Q38</f>
        <v/>
      </c>
      <c r="AC47" s="127" t="str">
        <f>'Ration Milch-Mineralstoffe'!R38</f>
        <v/>
      </c>
      <c r="AD47" s="126" t="str">
        <f>IF('Ration Milch-Mineralstoffe'!S38=0,"k.A.",'Ration Milch-Mineralstoffe'!S38)</f>
        <v/>
      </c>
      <c r="AE47" s="910" t="str">
        <f>'Ration Milch-Mineralstoffe'!T38</f>
        <v/>
      </c>
      <c r="AF47" s="132"/>
      <c r="AG47" s="132"/>
      <c r="AH47" s="132"/>
      <c r="AI47" s="78"/>
      <c r="AJ47" s="78"/>
      <c r="AK47" s="78"/>
      <c r="AL47" s="52"/>
      <c r="AM47" s="694"/>
    </row>
    <row r="48" spans="1:329" ht="17.25" customHeight="1" thickBot="1" x14ac:dyDescent="0.3">
      <c r="A48" s="700"/>
      <c r="B48" s="315"/>
      <c r="C48" s="315"/>
      <c r="D48" s="315"/>
      <c r="E48" s="315"/>
      <c r="F48" s="701"/>
      <c r="G48" s="702"/>
      <c r="H48" s="315"/>
      <c r="I48" s="315"/>
      <c r="J48" s="315"/>
      <c r="K48" s="315"/>
      <c r="L48" s="316"/>
      <c r="M48" s="316"/>
      <c r="N48" s="316"/>
      <c r="O48" s="315"/>
      <c r="P48" s="315"/>
      <c r="Q48" s="315"/>
      <c r="R48" s="315"/>
      <c r="S48" s="315"/>
      <c r="T48" s="315"/>
      <c r="U48" s="315"/>
      <c r="V48" s="128"/>
      <c r="W48" s="129"/>
      <c r="X48" s="129"/>
      <c r="Y48" s="130" t="e">
        <f>IF(Y47&lt;Camin*Y46,ROUND((Y47/Y46-1),2),IF(Y47&lt;Camin*1.05*Y46,"!",IF(Y47&gt;Camax*Y46,"+"&amp;ROUND((Y47/Y46-1)*100,0)&amp;"%",IF(Y47&gt;Camax*0.95*Y46,"!",""))))</f>
        <v>#DIV/0!</v>
      </c>
      <c r="Z48" s="131" t="e">
        <f>IF(Z47&lt;Pmin*Z46,ROUND((Z47/Z46-1),2),IF(Z47&lt;Pmin*1.05*Z46,"!",IF(Z47&gt;Pmax*Z46,"+"&amp;ROUND((Z47/Z46-1)*100,0)&amp;"%",IF(Z47&gt;Pmax*0.95*Z46,"!",""))))</f>
        <v>#DIV/0!</v>
      </c>
      <c r="AA48" s="131" t="e">
        <f>IF(AA47&lt;Namin*AA46,ROUND((AA47/AA46-1),2),IF(AA47&lt;Namin*1.05*AA46,"!",IF(AA47&gt;Namax*AA46,"+"&amp;ROUND((AA47/AA46-1)*100,0)&amp;"%",IF(AA47&gt;Namax*0.95*AA46,"!",""))))</f>
        <v>#DIV/0!</v>
      </c>
      <c r="AB48" s="131" t="e">
        <f>IF(AB47&lt;Mgmin*AB46,ROUND((AB47/AB46-1),2),IF(AB47&lt;Mgmin*1.05*AB46,"!",IF(AB47&gt;Mgmax*AB46,"+"&amp;ROUND((AB47/AB46-1)*100,0)&amp;"%",IF(AB47&gt;Mgmax*0.95*AB46,"!",""))))</f>
        <v>#DIV/0!</v>
      </c>
      <c r="AC48" s="131" t="e">
        <f>IF(AC47&lt;Kmin*AC46,ROUND((AC47/AC46-1),2),IF(AC47&lt;Kmin*1.05*AC46,"!",IF(AC47&gt;Kmax*AC46,"+"&amp;ROUND((AC47/AC46-1)*100,0)&amp;"%",IF(AC47&gt;Kmax*0.95*AC46,"!",""))))</f>
        <v>#DIV/0!</v>
      </c>
      <c r="AD48" s="131" t="e">
        <f>IF(AD47="k.A.","k.A.",IF(AD47&lt;Semin*AD46,ROUND((AD47-AD46)/AD46,0),IF(AD47&lt;Semin*1.05*AD46,"!",IF(AD47&gt;Semax*AD46,"+"&amp;ROUND((AD47-AD46)/AD46*100,0)&amp;"%",IF(AD47&gt;Semax*0.95*AD46,"!","")))))</f>
        <v>#DIV/0!</v>
      </c>
      <c r="AE48" s="911" t="e">
        <f>IF(M_kg="T",IF(AE47&gt;DCAB_t_max+100,AE47-100,IF(AE47&gt;DCAB_t_max,"!","")),IF(AE47&lt;DCAB_lakt_min-50,AE47-DCAB_lakt_min,IF(AE47&gt;DCAB_lakt_max+50,AE47-DCAB_lakt_max,IF(OR(AE47&lt;DCAB_lakt_min,AE47&gt;DCAB_lakt_max),"!",""))))</f>
        <v>#VALUE!</v>
      </c>
      <c r="AF48" s="132"/>
      <c r="AG48" s="132"/>
      <c r="AH48" s="132"/>
      <c r="AI48" s="132"/>
      <c r="AJ48" s="132"/>
      <c r="AK48" s="132"/>
      <c r="AL48" s="78"/>
      <c r="AM48" s="703"/>
    </row>
    <row r="49" spans="1:329" ht="10.5" customHeight="1" x14ac:dyDescent="0.25">
      <c r="A49" s="700"/>
      <c r="B49" s="315"/>
      <c r="C49" s="315"/>
      <c r="D49" s="315"/>
      <c r="E49" s="315"/>
      <c r="F49" s="701"/>
      <c r="G49" s="702"/>
      <c r="H49" s="704"/>
      <c r="I49" s="701"/>
      <c r="J49" s="701"/>
      <c r="K49" s="704"/>
      <c r="L49" s="316"/>
      <c r="M49" s="316"/>
      <c r="N49" s="316"/>
      <c r="O49" s="315"/>
      <c r="P49" s="315"/>
      <c r="Q49" s="315"/>
      <c r="R49" s="315"/>
      <c r="S49" s="315"/>
      <c r="T49" s="315"/>
      <c r="U49" s="315"/>
      <c r="V49" s="318"/>
      <c r="W49" s="318"/>
      <c r="X49" s="318"/>
      <c r="Y49" s="705"/>
      <c r="Z49" s="705"/>
      <c r="AA49" s="705"/>
      <c r="AB49" s="699"/>
      <c r="AC49" s="706"/>
      <c r="AD49" s="324"/>
      <c r="AE49" s="699"/>
      <c r="AF49" s="699"/>
      <c r="AG49" s="707"/>
      <c r="AH49" s="699"/>
      <c r="AI49" s="699"/>
      <c r="AJ49" s="699"/>
      <c r="AK49" s="699"/>
      <c r="AL49" s="324"/>
      <c r="AM49" s="703"/>
    </row>
    <row r="50" spans="1:329" s="27" customFormat="1" ht="10.5" customHeight="1" x14ac:dyDescent="0.25">
      <c r="A50" s="708"/>
      <c r="B50" s="709"/>
      <c r="C50" s="710"/>
      <c r="D50" s="710"/>
      <c r="E50" s="710"/>
      <c r="F50" s="710"/>
      <c r="G50" s="711"/>
      <c r="H50" s="710"/>
      <c r="I50" s="710"/>
      <c r="J50" s="710"/>
      <c r="K50" s="710"/>
      <c r="L50" s="710"/>
      <c r="M50" s="710"/>
      <c r="N50" s="712"/>
      <c r="O50" s="712"/>
      <c r="P50" s="712"/>
      <c r="Q50" s="713"/>
      <c r="R50" s="713"/>
      <c r="S50" s="714"/>
      <c r="T50" s="714"/>
      <c r="U50" s="714"/>
      <c r="V50" s="715"/>
      <c r="W50" s="715"/>
      <c r="X50" s="716"/>
      <c r="Y50" s="717"/>
      <c r="Z50" s="715"/>
      <c r="AA50" s="710"/>
      <c r="AB50" s="718"/>
      <c r="AC50" s="719"/>
      <c r="AD50" s="720" t="str">
        <f>Einstellungen!C1</f>
        <v>Bearbeiter*in:</v>
      </c>
      <c r="AE50" s="720" t="str">
        <f>Einstellungen!E1</f>
        <v>E. Gerster</v>
      </c>
      <c r="AF50" s="721"/>
      <c r="AG50" s="721"/>
      <c r="AH50" s="721"/>
      <c r="AI50" s="722"/>
      <c r="AJ50" s="722"/>
      <c r="AK50" s="722"/>
      <c r="AL50" s="720"/>
      <c r="AM50" s="723"/>
      <c r="AN50" s="585"/>
      <c r="AO50" s="585"/>
      <c r="AP50" s="585"/>
      <c r="AQ50" s="585"/>
      <c r="AR50" s="585"/>
      <c r="AS50" s="585"/>
      <c r="AT50" s="585"/>
      <c r="AU50" s="585"/>
      <c r="AV50" s="585"/>
      <c r="AW50" s="585"/>
      <c r="AX50" s="585"/>
      <c r="AY50" s="585"/>
      <c r="AZ50" s="585"/>
      <c r="BA50" s="585"/>
      <c r="BB50" s="585"/>
      <c r="BC50" s="585"/>
      <c r="BD50" s="585"/>
      <c r="BE50" s="585"/>
      <c r="BF50" s="585"/>
      <c r="BG50" s="585"/>
      <c r="BH50" s="585"/>
      <c r="BI50" s="585"/>
      <c r="BJ50" s="585"/>
      <c r="BK50" s="585"/>
      <c r="BL50" s="585"/>
      <c r="BM50" s="585"/>
      <c r="BN50" s="585"/>
      <c r="BO50" s="585"/>
      <c r="BP50" s="585"/>
      <c r="BQ50" s="585"/>
      <c r="BR50" s="585"/>
      <c r="BS50" s="585"/>
      <c r="BT50" s="585"/>
      <c r="BU50" s="585"/>
      <c r="BV50" s="585"/>
      <c r="BW50" s="585"/>
      <c r="BX50" s="585"/>
      <c r="BY50" s="585"/>
      <c r="BZ50" s="585"/>
      <c r="CA50" s="585"/>
      <c r="CB50" s="585"/>
      <c r="CC50" s="585"/>
      <c r="CD50" s="585"/>
      <c r="CE50" s="585"/>
      <c r="CF50" s="585"/>
      <c r="CG50" s="585"/>
      <c r="CH50" s="585"/>
      <c r="CI50" s="585"/>
      <c r="CJ50" s="585"/>
      <c r="CK50" s="585"/>
      <c r="CL50" s="585"/>
      <c r="CM50" s="585"/>
      <c r="CN50" s="585"/>
      <c r="CO50" s="585"/>
      <c r="CP50" s="585"/>
      <c r="CQ50" s="585"/>
      <c r="CR50" s="585"/>
      <c r="CS50" s="585"/>
      <c r="CT50" s="585"/>
      <c r="CU50" s="585"/>
      <c r="CV50" s="585"/>
      <c r="CW50" s="585"/>
      <c r="CX50" s="585"/>
      <c r="CY50" s="585"/>
      <c r="CZ50" s="585"/>
      <c r="DA50" s="585"/>
      <c r="DB50" s="585"/>
      <c r="DC50" s="585"/>
      <c r="DD50" s="585"/>
      <c r="DE50" s="585"/>
      <c r="DF50" s="585"/>
      <c r="DG50" s="585"/>
      <c r="DH50" s="585"/>
      <c r="DI50" s="585"/>
      <c r="DJ50" s="585"/>
      <c r="DK50" s="585"/>
      <c r="DL50" s="585"/>
      <c r="DM50" s="585"/>
      <c r="DN50" s="585"/>
      <c r="DO50" s="585"/>
      <c r="DP50" s="585"/>
      <c r="DQ50" s="585"/>
      <c r="DR50" s="585"/>
      <c r="DS50" s="585"/>
      <c r="DT50" s="585"/>
      <c r="DU50" s="585"/>
      <c r="DV50" s="585"/>
      <c r="DW50" s="585"/>
      <c r="DX50" s="585"/>
      <c r="DY50" s="585"/>
      <c r="DZ50" s="585"/>
      <c r="EA50" s="585"/>
      <c r="EB50" s="585"/>
      <c r="EC50" s="585"/>
      <c r="ED50" s="585"/>
      <c r="EE50" s="585"/>
      <c r="EF50" s="585"/>
      <c r="EG50" s="585"/>
      <c r="EH50" s="585"/>
      <c r="EI50" s="585"/>
      <c r="EJ50" s="585"/>
      <c r="EK50" s="585"/>
      <c r="EL50" s="585"/>
      <c r="EM50" s="585"/>
      <c r="EN50" s="585"/>
      <c r="EO50" s="585"/>
      <c r="EP50" s="585"/>
      <c r="EQ50" s="585"/>
      <c r="ER50" s="585"/>
      <c r="ES50" s="585"/>
      <c r="ET50" s="585"/>
      <c r="EU50" s="585"/>
      <c r="EV50" s="585"/>
      <c r="EW50" s="585"/>
      <c r="EX50" s="585"/>
      <c r="EY50" s="585"/>
      <c r="EZ50" s="585"/>
      <c r="FA50" s="585"/>
      <c r="FB50" s="585"/>
      <c r="FC50" s="585"/>
      <c r="FD50" s="585"/>
      <c r="FE50" s="585"/>
      <c r="FF50" s="585"/>
      <c r="FG50" s="585"/>
      <c r="FH50" s="585"/>
      <c r="FI50" s="585"/>
      <c r="FJ50" s="585"/>
      <c r="FK50" s="585"/>
      <c r="FL50" s="585"/>
      <c r="FM50" s="585"/>
      <c r="FN50" s="585"/>
      <c r="FO50" s="585"/>
      <c r="FP50" s="585"/>
      <c r="FQ50" s="585"/>
      <c r="FR50" s="585"/>
      <c r="FS50" s="585"/>
      <c r="FT50" s="585"/>
      <c r="FU50" s="585"/>
      <c r="FV50" s="585"/>
      <c r="FW50" s="585"/>
      <c r="FX50" s="585"/>
      <c r="FY50" s="585"/>
      <c r="FZ50" s="585"/>
      <c r="GA50" s="585"/>
      <c r="GB50" s="585"/>
      <c r="GC50" s="585"/>
      <c r="GD50" s="585"/>
      <c r="GE50" s="585"/>
      <c r="GF50" s="585"/>
      <c r="GG50" s="585"/>
      <c r="GH50" s="585"/>
      <c r="GI50" s="585"/>
      <c r="GJ50" s="585"/>
      <c r="GK50" s="585"/>
      <c r="GL50" s="585"/>
      <c r="GM50" s="585"/>
      <c r="GN50" s="585"/>
      <c r="GO50" s="585"/>
      <c r="GP50" s="585"/>
      <c r="GQ50" s="585"/>
      <c r="GR50" s="585"/>
      <c r="GS50" s="585"/>
      <c r="GT50" s="585"/>
      <c r="GU50" s="585"/>
      <c r="GV50" s="585"/>
      <c r="GW50" s="585"/>
      <c r="GX50" s="585"/>
      <c r="GY50" s="585"/>
      <c r="GZ50" s="585"/>
      <c r="HA50" s="585"/>
      <c r="HB50" s="585"/>
      <c r="HC50" s="585"/>
      <c r="HD50" s="585"/>
      <c r="HE50" s="585"/>
      <c r="HF50" s="585"/>
      <c r="HG50" s="585"/>
      <c r="HH50" s="585"/>
      <c r="HI50" s="585"/>
      <c r="HJ50" s="585"/>
      <c r="HK50" s="585"/>
      <c r="HL50" s="585"/>
      <c r="HM50" s="585"/>
      <c r="HN50" s="585"/>
      <c r="HO50" s="585"/>
      <c r="HP50" s="585"/>
      <c r="HQ50" s="585"/>
      <c r="HR50" s="585"/>
      <c r="HS50" s="585"/>
      <c r="HT50" s="585"/>
      <c r="HU50" s="585"/>
      <c r="HV50" s="585"/>
      <c r="HW50" s="585"/>
      <c r="HX50" s="585"/>
      <c r="HY50" s="585"/>
      <c r="HZ50" s="585"/>
      <c r="IA50" s="585"/>
      <c r="IB50" s="585"/>
      <c r="IC50" s="585"/>
      <c r="ID50" s="585"/>
      <c r="IE50" s="585"/>
      <c r="IF50" s="585"/>
      <c r="IG50" s="585"/>
      <c r="IH50" s="585"/>
      <c r="II50" s="585"/>
      <c r="IJ50" s="585"/>
      <c r="IK50" s="585"/>
      <c r="IL50" s="585"/>
      <c r="IM50" s="585"/>
      <c r="IN50" s="585"/>
      <c r="IO50" s="585"/>
      <c r="IP50" s="585"/>
      <c r="IQ50" s="585"/>
      <c r="IR50" s="585"/>
      <c r="IS50" s="585"/>
      <c r="IT50" s="585"/>
      <c r="IU50" s="585"/>
      <c r="IV50" s="585"/>
      <c r="IW50" s="585"/>
      <c r="IX50" s="585"/>
      <c r="IY50" s="585"/>
      <c r="IZ50" s="585"/>
      <c r="JA50" s="585"/>
      <c r="JB50" s="585"/>
      <c r="JC50" s="585"/>
      <c r="JD50" s="585"/>
      <c r="JE50" s="585"/>
      <c r="JF50" s="585"/>
      <c r="JG50" s="585"/>
      <c r="JH50" s="585"/>
      <c r="JI50" s="585"/>
      <c r="JJ50" s="585"/>
      <c r="JK50" s="585"/>
      <c r="JL50" s="585"/>
      <c r="JM50" s="585"/>
      <c r="JN50" s="585"/>
      <c r="JO50" s="585"/>
      <c r="JP50" s="585"/>
      <c r="JQ50" s="585"/>
      <c r="JR50" s="585"/>
      <c r="JS50" s="585"/>
      <c r="JT50" s="585"/>
      <c r="JU50" s="585"/>
      <c r="JV50" s="585"/>
      <c r="JW50" s="585"/>
      <c r="JX50" s="585"/>
      <c r="JY50" s="585"/>
      <c r="JZ50" s="585"/>
      <c r="KA50" s="585"/>
      <c r="KB50" s="585"/>
      <c r="KC50" s="585"/>
      <c r="KD50" s="585"/>
      <c r="KE50" s="585"/>
      <c r="KF50" s="585"/>
      <c r="KG50" s="585"/>
      <c r="KH50" s="585"/>
      <c r="KI50" s="585"/>
      <c r="KJ50" s="585"/>
      <c r="KK50" s="585"/>
      <c r="KL50" s="585"/>
      <c r="KM50" s="585"/>
      <c r="KN50" s="585"/>
      <c r="KO50" s="585"/>
      <c r="KP50" s="585"/>
      <c r="KQ50" s="585"/>
      <c r="KR50" s="585"/>
      <c r="KS50" s="585"/>
      <c r="KT50" s="585"/>
      <c r="KU50" s="585"/>
      <c r="KV50" s="585"/>
      <c r="KW50" s="585"/>
      <c r="KX50" s="585"/>
      <c r="KY50" s="585"/>
      <c r="KZ50" s="585"/>
      <c r="LA50" s="585"/>
      <c r="LB50" s="585"/>
      <c r="LC50" s="585"/>
      <c r="LD50" s="585"/>
      <c r="LE50" s="585"/>
      <c r="LF50" s="585"/>
      <c r="LG50" s="585"/>
      <c r="LH50" s="585"/>
      <c r="LI50" s="585"/>
      <c r="LJ50" s="585"/>
      <c r="LK50" s="585"/>
      <c r="LL50" s="585"/>
      <c r="LM50" s="585"/>
      <c r="LN50" s="585"/>
      <c r="LO50" s="585"/>
      <c r="LP50" s="585"/>
      <c r="LQ50" s="585"/>
    </row>
    <row r="51" spans="1:329" s="36" customFormat="1" ht="3" customHeight="1" thickBot="1" x14ac:dyDescent="0.3">
      <c r="A51" s="33"/>
      <c r="B51" s="33"/>
      <c r="C51" s="33"/>
      <c r="D51" s="33"/>
      <c r="E51" s="33"/>
      <c r="F51" s="33"/>
      <c r="G51" s="34"/>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5"/>
      <c r="AN51" s="585"/>
      <c r="AO51" s="585"/>
      <c r="AP51" s="585"/>
      <c r="AQ51" s="585"/>
      <c r="AR51" s="585"/>
      <c r="AS51" s="585"/>
      <c r="AT51" s="585"/>
      <c r="AU51" s="585"/>
      <c r="AV51" s="585"/>
      <c r="AW51" s="585"/>
      <c r="AX51" s="585"/>
      <c r="AY51" s="585"/>
      <c r="AZ51" s="585"/>
      <c r="BA51" s="585"/>
      <c r="BB51" s="585"/>
      <c r="BC51" s="585"/>
      <c r="BD51" s="585"/>
      <c r="BE51" s="585"/>
      <c r="BF51" s="585"/>
      <c r="BG51" s="585"/>
      <c r="BH51" s="585"/>
      <c r="BI51" s="585"/>
      <c r="BJ51" s="585"/>
      <c r="BK51" s="585"/>
      <c r="BL51" s="585"/>
      <c r="BM51" s="585"/>
      <c r="BN51" s="585"/>
      <c r="BO51" s="585"/>
      <c r="BP51" s="585"/>
      <c r="BQ51" s="585"/>
      <c r="BR51" s="585"/>
      <c r="BS51" s="585"/>
      <c r="BT51" s="585"/>
      <c r="BU51" s="585"/>
      <c r="BV51" s="585"/>
      <c r="BW51" s="585"/>
      <c r="BX51" s="585"/>
      <c r="BY51" s="585"/>
      <c r="BZ51" s="585"/>
      <c r="CA51" s="585"/>
      <c r="CB51" s="585"/>
      <c r="CC51" s="585"/>
      <c r="CD51" s="585"/>
      <c r="CE51" s="585"/>
      <c r="CF51" s="585"/>
      <c r="CG51" s="585"/>
      <c r="CH51" s="585"/>
      <c r="CI51" s="585"/>
      <c r="CJ51" s="585"/>
      <c r="CK51" s="585"/>
      <c r="CL51" s="585"/>
      <c r="CM51" s="585"/>
      <c r="CN51" s="585"/>
      <c r="CO51" s="585"/>
      <c r="CP51" s="585"/>
      <c r="CQ51" s="585"/>
      <c r="CR51" s="585"/>
      <c r="CS51" s="585"/>
      <c r="CT51" s="585"/>
      <c r="CU51" s="585"/>
      <c r="CV51" s="585"/>
      <c r="CW51" s="585"/>
      <c r="CX51" s="585"/>
      <c r="CY51" s="585"/>
      <c r="CZ51" s="585"/>
      <c r="DA51" s="585"/>
      <c r="DB51" s="585"/>
      <c r="DC51" s="585"/>
      <c r="DD51" s="585"/>
      <c r="DE51" s="585"/>
      <c r="DF51" s="585"/>
      <c r="DG51" s="585"/>
      <c r="DH51" s="585"/>
      <c r="DI51" s="585"/>
      <c r="DJ51" s="585"/>
      <c r="DK51" s="585"/>
      <c r="DL51" s="585"/>
      <c r="DM51" s="585"/>
      <c r="DN51" s="585"/>
      <c r="DO51" s="585"/>
      <c r="DP51" s="585"/>
      <c r="DQ51" s="585"/>
      <c r="DR51" s="585"/>
      <c r="DS51" s="585"/>
      <c r="DT51" s="585"/>
      <c r="DU51" s="585"/>
      <c r="DV51" s="585"/>
      <c r="DW51" s="585"/>
      <c r="DX51" s="585"/>
      <c r="DY51" s="585"/>
      <c r="DZ51" s="585"/>
      <c r="EA51" s="585"/>
      <c r="EB51" s="585"/>
      <c r="EC51" s="585"/>
      <c r="ED51" s="585"/>
      <c r="EE51" s="585"/>
      <c r="EF51" s="585"/>
      <c r="EG51" s="585"/>
      <c r="EH51" s="585"/>
      <c r="EI51" s="585"/>
      <c r="EJ51" s="585"/>
      <c r="EK51" s="585"/>
      <c r="EL51" s="585"/>
      <c r="EM51" s="585"/>
      <c r="EN51" s="585"/>
      <c r="EO51" s="585"/>
      <c r="EP51" s="585"/>
      <c r="EQ51" s="585"/>
      <c r="ER51" s="585"/>
      <c r="ES51" s="585"/>
      <c r="ET51" s="585"/>
      <c r="EU51" s="585"/>
      <c r="EV51" s="585"/>
      <c r="EW51" s="585"/>
      <c r="EX51" s="585"/>
      <c r="EY51" s="585"/>
      <c r="EZ51" s="585"/>
      <c r="FA51" s="585"/>
      <c r="FB51" s="585"/>
      <c r="FC51" s="585"/>
      <c r="FD51" s="585"/>
      <c r="FE51" s="585"/>
      <c r="FF51" s="585"/>
      <c r="FG51" s="585"/>
      <c r="FH51" s="585"/>
      <c r="FI51" s="585"/>
      <c r="FJ51" s="585"/>
      <c r="FK51" s="585"/>
      <c r="FL51" s="585"/>
      <c r="FM51" s="585"/>
      <c r="FN51" s="585"/>
      <c r="FO51" s="585"/>
      <c r="FP51" s="585"/>
      <c r="FQ51" s="585"/>
      <c r="FR51" s="585"/>
      <c r="FS51" s="585"/>
      <c r="FT51" s="585"/>
      <c r="FU51" s="585"/>
      <c r="FV51" s="585"/>
      <c r="FW51" s="585"/>
      <c r="FX51" s="585"/>
      <c r="FY51" s="585"/>
      <c r="FZ51" s="585"/>
      <c r="GA51" s="585"/>
      <c r="GB51" s="585"/>
      <c r="GC51" s="585"/>
      <c r="GD51" s="585"/>
      <c r="GE51" s="585"/>
      <c r="GF51" s="585"/>
      <c r="GG51" s="585"/>
      <c r="GH51" s="585"/>
      <c r="GI51" s="585"/>
      <c r="GJ51" s="585"/>
      <c r="GK51" s="585"/>
      <c r="GL51" s="585"/>
      <c r="GM51" s="585"/>
      <c r="GN51" s="585"/>
      <c r="GO51" s="585"/>
      <c r="GP51" s="585"/>
      <c r="GQ51" s="585"/>
      <c r="GR51" s="585"/>
      <c r="GS51" s="585"/>
      <c r="GT51" s="585"/>
      <c r="GU51" s="585"/>
      <c r="GV51" s="585"/>
      <c r="GW51" s="585"/>
      <c r="GX51" s="585"/>
      <c r="GY51" s="585"/>
      <c r="GZ51" s="585"/>
      <c r="HA51" s="585"/>
      <c r="HB51" s="585"/>
      <c r="HC51" s="585"/>
      <c r="HD51" s="585"/>
      <c r="HE51" s="585"/>
      <c r="HF51" s="585"/>
      <c r="HG51" s="585"/>
      <c r="HH51" s="585"/>
      <c r="HI51" s="585"/>
      <c r="HJ51" s="585"/>
      <c r="HK51" s="585"/>
      <c r="HL51" s="585"/>
      <c r="HM51" s="585"/>
      <c r="HN51" s="585"/>
      <c r="HO51" s="585"/>
      <c r="HP51" s="585"/>
      <c r="HQ51" s="585"/>
      <c r="HR51" s="585"/>
      <c r="HS51" s="585"/>
      <c r="HT51" s="585"/>
      <c r="HU51" s="585"/>
      <c r="HV51" s="585"/>
      <c r="HW51" s="585"/>
      <c r="HX51" s="585"/>
      <c r="HY51" s="585"/>
      <c r="HZ51" s="585"/>
      <c r="IA51" s="585"/>
      <c r="IB51" s="585"/>
      <c r="IC51" s="585"/>
      <c r="ID51" s="585"/>
      <c r="IE51" s="585"/>
      <c r="IF51" s="585"/>
      <c r="IG51" s="585"/>
      <c r="IH51" s="585"/>
      <c r="II51" s="585"/>
      <c r="IJ51" s="585"/>
      <c r="IK51" s="585"/>
      <c r="IL51" s="585"/>
      <c r="IM51" s="585"/>
      <c r="IN51" s="585"/>
      <c r="IO51" s="585"/>
      <c r="IP51" s="585"/>
      <c r="IQ51" s="585"/>
      <c r="IR51" s="585"/>
      <c r="IS51" s="585"/>
      <c r="IT51" s="585"/>
      <c r="IU51" s="585"/>
      <c r="IV51" s="585"/>
      <c r="IW51" s="585"/>
      <c r="IX51" s="585"/>
      <c r="IY51" s="585"/>
      <c r="IZ51" s="585"/>
      <c r="JA51" s="585"/>
      <c r="JB51" s="585"/>
      <c r="JC51" s="585"/>
      <c r="JD51" s="585"/>
      <c r="JE51" s="585"/>
      <c r="JF51" s="585"/>
      <c r="JG51" s="585"/>
      <c r="JH51" s="585"/>
      <c r="JI51" s="585"/>
      <c r="JJ51" s="585"/>
      <c r="JK51" s="585"/>
      <c r="JL51" s="585"/>
      <c r="JM51" s="585"/>
      <c r="JN51" s="585"/>
      <c r="JO51" s="585"/>
      <c r="JP51" s="585"/>
      <c r="JQ51" s="585"/>
      <c r="JR51" s="585"/>
      <c r="JS51" s="585"/>
      <c r="JT51" s="585"/>
      <c r="JU51" s="585"/>
      <c r="JV51" s="585"/>
      <c r="JW51" s="585"/>
      <c r="JX51" s="585"/>
      <c r="JY51" s="585"/>
      <c r="JZ51" s="585"/>
      <c r="KA51" s="585"/>
      <c r="KB51" s="585"/>
      <c r="KC51" s="585"/>
      <c r="KD51" s="585"/>
      <c r="KE51" s="585"/>
      <c r="KF51" s="585"/>
      <c r="KG51" s="585"/>
      <c r="KH51" s="585"/>
      <c r="KI51" s="585"/>
      <c r="KJ51" s="585"/>
      <c r="KK51" s="585"/>
      <c r="KL51" s="585"/>
      <c r="KM51" s="585"/>
      <c r="KN51" s="585"/>
      <c r="KO51" s="585"/>
      <c r="KP51" s="585"/>
      <c r="KQ51" s="585"/>
      <c r="KR51" s="585"/>
      <c r="KS51" s="585"/>
      <c r="KT51" s="585"/>
      <c r="KU51" s="585"/>
      <c r="KV51" s="585"/>
      <c r="KW51" s="585"/>
      <c r="KX51" s="585"/>
      <c r="KY51" s="585"/>
      <c r="KZ51" s="585"/>
      <c r="LA51" s="585"/>
      <c r="LB51" s="585"/>
      <c r="LC51" s="585"/>
      <c r="LD51" s="585"/>
      <c r="LE51" s="585"/>
      <c r="LF51" s="585"/>
      <c r="LG51" s="585"/>
      <c r="LH51" s="585"/>
      <c r="LI51" s="585"/>
      <c r="LJ51" s="585"/>
      <c r="LK51" s="585"/>
      <c r="LL51" s="585"/>
      <c r="LM51" s="585"/>
      <c r="LN51" s="585"/>
      <c r="LO51" s="585"/>
      <c r="LP51" s="585"/>
      <c r="LQ51" s="585"/>
    </row>
    <row r="52" spans="1:329" ht="13" customHeight="1" thickTop="1" x14ac:dyDescent="0.25">
      <c r="A52" s="5"/>
      <c r="G52" s="5"/>
      <c r="AG52" s="5"/>
      <c r="AH52" s="5"/>
      <c r="AI52" s="5"/>
      <c r="AJ52" s="5"/>
      <c r="AK52" s="5"/>
      <c r="AL52" s="5"/>
      <c r="AM52" s="5"/>
      <c r="AN52" s="5"/>
      <c r="AO52" s="5"/>
    </row>
    <row r="53" spans="1:329" ht="13" customHeight="1" x14ac:dyDescent="0.25">
      <c r="A53" s="5"/>
      <c r="G53" s="5"/>
      <c r="AG53" s="5"/>
      <c r="AH53" s="5"/>
      <c r="AI53" s="5"/>
      <c r="AJ53" s="5"/>
      <c r="AK53" s="5"/>
      <c r="AL53" s="5"/>
      <c r="AM53" s="5"/>
      <c r="AN53" s="5"/>
      <c r="AO53" s="5"/>
    </row>
    <row r="54" spans="1:329" ht="13" customHeight="1" x14ac:dyDescent="0.25">
      <c r="A54" s="5"/>
      <c r="G54" s="5"/>
      <c r="AG54" s="5"/>
      <c r="AH54" s="5"/>
      <c r="AI54" s="5"/>
      <c r="AJ54" s="5"/>
      <c r="AK54" s="5"/>
      <c r="AL54" s="5"/>
      <c r="AM54" s="5"/>
      <c r="AN54" s="5"/>
      <c r="AO54" s="5"/>
    </row>
    <row r="55" spans="1:329" ht="13" customHeight="1" x14ac:dyDescent="0.25">
      <c r="A55" s="5"/>
      <c r="G55" s="5"/>
      <c r="AG55" s="5"/>
      <c r="AH55" s="5"/>
      <c r="AI55" s="5"/>
      <c r="AJ55" s="5"/>
      <c r="AK55" s="5"/>
      <c r="AL55" s="5"/>
      <c r="AM55" s="5"/>
      <c r="AN55" s="5"/>
      <c r="AO55" s="5"/>
    </row>
    <row r="56" spans="1:329" ht="13" customHeight="1" x14ac:dyDescent="0.25">
      <c r="A56" s="5"/>
      <c r="G56" s="5"/>
      <c r="AG56" s="5"/>
      <c r="AH56" s="5"/>
      <c r="AI56" s="5"/>
      <c r="AJ56" s="5"/>
      <c r="AK56" s="5"/>
      <c r="AL56" s="5"/>
      <c r="AM56" s="5"/>
      <c r="AN56" s="5"/>
      <c r="AO56" s="5"/>
    </row>
    <row r="57" spans="1:329" ht="13" customHeight="1" x14ac:dyDescent="0.25">
      <c r="A57" s="5"/>
      <c r="G57" s="5"/>
      <c r="AG57" s="5"/>
      <c r="AH57" s="5"/>
      <c r="AI57" s="5"/>
      <c r="AJ57" s="5"/>
      <c r="AK57" s="5"/>
      <c r="AL57" s="5"/>
      <c r="AM57" s="5"/>
      <c r="AN57" s="5"/>
      <c r="AO57" s="5"/>
    </row>
    <row r="58" spans="1:329" ht="13" customHeight="1" x14ac:dyDescent="0.25">
      <c r="A58" s="5"/>
      <c r="G58" s="5"/>
      <c r="AG58" s="5"/>
      <c r="AH58" s="5"/>
      <c r="AI58" s="5"/>
      <c r="AJ58" s="5"/>
      <c r="AK58" s="5"/>
      <c r="AL58" s="5"/>
      <c r="AM58" s="5"/>
      <c r="AN58" s="5"/>
      <c r="AO58" s="5"/>
    </row>
    <row r="59" spans="1:329" ht="13" customHeight="1" x14ac:dyDescent="0.25">
      <c r="A59" s="5"/>
      <c r="G59" s="5"/>
      <c r="AG59" s="5"/>
      <c r="AH59" s="5"/>
      <c r="AI59" s="5"/>
      <c r="AJ59" s="5"/>
      <c r="AK59" s="5"/>
      <c r="AL59" s="5"/>
      <c r="AM59" s="5"/>
      <c r="AN59" s="5"/>
      <c r="AO59" s="5"/>
    </row>
    <row r="60" spans="1:329" ht="13" customHeight="1" x14ac:dyDescent="0.25">
      <c r="A60" s="5"/>
      <c r="G60" s="5"/>
      <c r="AG60" s="5"/>
      <c r="AH60" s="5"/>
      <c r="AI60" s="5"/>
      <c r="AJ60" s="5"/>
      <c r="AK60" s="5"/>
      <c r="AL60" s="5"/>
      <c r="AM60" s="5"/>
      <c r="AN60" s="5"/>
      <c r="AO60" s="5"/>
    </row>
    <row r="61" spans="1:329" ht="13" customHeight="1" x14ac:dyDescent="0.25">
      <c r="A61" s="5"/>
      <c r="G61" s="5"/>
      <c r="AG61" s="5"/>
      <c r="AH61" s="5"/>
      <c r="AI61" s="5"/>
      <c r="AJ61" s="5"/>
      <c r="AK61" s="5"/>
      <c r="AL61" s="5"/>
      <c r="AM61" s="5"/>
      <c r="AN61" s="5"/>
      <c r="AO61" s="5"/>
    </row>
    <row r="62" spans="1:329" s="5" customFormat="1" ht="13" customHeight="1" x14ac:dyDescent="0.25"/>
    <row r="63" spans="1:329" s="5" customFormat="1" ht="11.5" x14ac:dyDescent="0.25"/>
    <row r="64" spans="1:329" s="5" customFormat="1" ht="11.5" x14ac:dyDescent="0.25"/>
    <row r="65" s="5" customFormat="1" ht="11.5" x14ac:dyDescent="0.25"/>
    <row r="66" s="5" customFormat="1" ht="11.5" x14ac:dyDescent="0.25"/>
    <row r="67" s="5" customFormat="1" ht="11.5" x14ac:dyDescent="0.25"/>
    <row r="68" s="5" customFormat="1" ht="11.5" x14ac:dyDescent="0.25"/>
    <row r="69" s="5" customFormat="1" ht="11.5" x14ac:dyDescent="0.25"/>
    <row r="70" s="5" customFormat="1" ht="11.5" x14ac:dyDescent="0.25"/>
    <row r="71" s="5" customFormat="1" ht="11.5" x14ac:dyDescent="0.25"/>
    <row r="72" s="5" customFormat="1" ht="11.5" x14ac:dyDescent="0.25"/>
    <row r="73" s="5" customFormat="1" ht="11.5" x14ac:dyDescent="0.25"/>
    <row r="74" s="5" customFormat="1" ht="11.5" x14ac:dyDescent="0.25"/>
    <row r="75" s="5" customFormat="1" ht="11.5" x14ac:dyDescent="0.25"/>
    <row r="76" s="5" customFormat="1" ht="11.5" x14ac:dyDescent="0.25"/>
    <row r="77" s="5" customFormat="1" ht="11.5" x14ac:dyDescent="0.25"/>
    <row r="78" s="5" customFormat="1" ht="11.5" x14ac:dyDescent="0.25"/>
    <row r="79" s="5" customFormat="1" ht="11.5" x14ac:dyDescent="0.25"/>
    <row r="80" s="5" customFormat="1" ht="11.5" x14ac:dyDescent="0.25"/>
    <row r="81" s="5" customFormat="1" ht="11.5" x14ac:dyDescent="0.25"/>
    <row r="82" s="5" customFormat="1" ht="11.5" x14ac:dyDescent="0.25"/>
    <row r="83" s="5" customFormat="1" ht="11.5" x14ac:dyDescent="0.25"/>
    <row r="84" s="5" customFormat="1" ht="11.5" x14ac:dyDescent="0.25"/>
    <row r="85" s="5" customFormat="1" ht="11.5" x14ac:dyDescent="0.25"/>
    <row r="86" s="5" customFormat="1" ht="11.5" x14ac:dyDescent="0.25"/>
    <row r="87" s="5" customFormat="1" ht="11.5" x14ac:dyDescent="0.25"/>
    <row r="88" s="5" customFormat="1" ht="11.5" x14ac:dyDescent="0.25"/>
    <row r="89" s="5" customFormat="1" ht="11.5" x14ac:dyDescent="0.25"/>
    <row r="90" s="5" customFormat="1" ht="11.5" x14ac:dyDescent="0.25"/>
    <row r="91" s="5" customFormat="1" ht="11.5" x14ac:dyDescent="0.25"/>
    <row r="92" s="5" customFormat="1" ht="11.5" x14ac:dyDescent="0.25"/>
    <row r="93" s="5" customFormat="1" ht="11.5" x14ac:dyDescent="0.25"/>
    <row r="94" s="5" customFormat="1" ht="11.5" x14ac:dyDescent="0.25"/>
    <row r="95" s="5" customFormat="1" ht="11.5" x14ac:dyDescent="0.25"/>
    <row r="96" s="5" customFormat="1" ht="11.5" x14ac:dyDescent="0.25"/>
    <row r="97" s="5" customFormat="1" ht="11.5" x14ac:dyDescent="0.25"/>
    <row r="98" s="5" customFormat="1" ht="11.5" x14ac:dyDescent="0.25"/>
    <row r="99" s="5" customFormat="1" ht="11.5" x14ac:dyDescent="0.25"/>
    <row r="100" s="5" customFormat="1" ht="11.5" x14ac:dyDescent="0.25"/>
    <row r="101" s="5" customFormat="1" ht="11.5" x14ac:dyDescent="0.25"/>
    <row r="102" s="5" customFormat="1" ht="11.5" x14ac:dyDescent="0.25"/>
    <row r="103" s="5" customFormat="1" ht="11.5" x14ac:dyDescent="0.25"/>
    <row r="104" s="5" customFormat="1" ht="11.5" x14ac:dyDescent="0.25"/>
    <row r="105" s="5" customFormat="1" ht="11.5" x14ac:dyDescent="0.25"/>
    <row r="106" s="5" customFormat="1" ht="11.5" x14ac:dyDescent="0.25"/>
    <row r="107" s="5" customFormat="1" ht="11.5" x14ac:dyDescent="0.25"/>
    <row r="108" s="5" customFormat="1" ht="11.5" x14ac:dyDescent="0.25"/>
    <row r="109" s="5" customFormat="1" ht="11.5" x14ac:dyDescent="0.25"/>
    <row r="110" s="5" customFormat="1" ht="11.5" x14ac:dyDescent="0.25"/>
    <row r="111" s="5" customFormat="1" ht="11.5" x14ac:dyDescent="0.25"/>
    <row r="112" s="5" customFormat="1" ht="11.5" x14ac:dyDescent="0.25"/>
    <row r="113" s="5" customFormat="1" ht="11.5" x14ac:dyDescent="0.25"/>
    <row r="114" s="5" customFormat="1" ht="11.5" x14ac:dyDescent="0.25"/>
    <row r="115" s="5" customFormat="1" ht="13" customHeight="1" x14ac:dyDescent="0.25"/>
  </sheetData>
  <sheetProtection algorithmName="SHA-512" hashValue="DCXipfd1ZimwgBk4OEQccPPA9ZaTfWItBoqr+hA6u7Jbk86pPZdE+BmePkMN9YsAyon5x/WCLbpdAqw/HhWgHA==" saltValue="IixclMp/WOpA0L25lfrNvA==" spinCount="100000" sheet="1" objects="1" scenarios="1" formatColumns="0" formatRows="0"/>
  <customSheetViews>
    <customSheetView guid="{2DEE39A3-88C5-4D7F-AEB9-0B43FD431165}" scale="110" showGridLines="0" zeroValues="0" fitToPage="1" hiddenRows="1" hiddenColumns="1" topLeftCell="A10">
      <selection activeCell="U15" sqref="U15"/>
      <pageMargins left="0.31496062992125984" right="0.31496062992125984" top="0.70866141732283472" bottom="0.35433070866141736" header="0.51181102362204722" footer="0.11811023622047245"/>
      <printOptions horizontalCentered="1"/>
      <pageSetup paperSize="9" scale="63" orientation="landscape" r:id="rId1"/>
      <headerFooter>
        <oddFooter>&amp;L&amp;F&amp;A&amp;R&amp;D  &amp;T</oddFooter>
      </headerFooter>
    </customSheetView>
    <customSheetView guid="{117F828A-4542-4D18-9CDB-B606529AAD66}" scale="120" showGridLines="0" showRowCol="0" zeroValues="0" fitToPage="1" hiddenRows="1" hiddenColumns="1" topLeftCell="B1">
      <selection activeCell="B37" sqref="B37"/>
      <pageMargins left="0.31496062992125984" right="0.31496062992125984" top="0.70866141732283472" bottom="0.35433070866141736" header="0.51181102362204722" footer="0.11811023622047245"/>
      <printOptions horizontalCentered="1"/>
      <pageSetup paperSize="9" scale="62" orientation="landscape" r:id="rId2"/>
      <headerFooter>
        <oddFooter>&amp;L&amp;F&amp;A&amp;R&amp;D  &amp;T</oddFooter>
      </headerFooter>
    </customSheetView>
  </customSheetViews>
  <mergeCells count="5">
    <mergeCell ref="AL40:AL41"/>
    <mergeCell ref="D35:G36"/>
    <mergeCell ref="D26:G27"/>
    <mergeCell ref="D19:G19"/>
    <mergeCell ref="L12:W12"/>
  </mergeCells>
  <phoneticPr fontId="7" type="noConversion"/>
  <conditionalFormatting sqref="G20:G24 G28:G31 G37:G38">
    <cfRule type="containsText" dxfId="21" priority="11" operator="containsText" text="KF">
      <formula>NOT(ISERROR(SEARCH("KF",G20)))</formula>
    </cfRule>
    <cfRule type="containsText" dxfId="20" priority="12" operator="containsText" text="SF">
      <formula>NOT(ISERROR(SEARCH("SF",G20)))</formula>
    </cfRule>
    <cfRule type="containsText" dxfId="19" priority="28" operator="containsText" text="G">
      <formula>NOT(ISERROR(SEARCH("G",G20)))</formula>
    </cfRule>
  </conditionalFormatting>
  <conditionalFormatting sqref="H20:M20 N20:N23 O20:U24 L21:M23 I21:L24">
    <cfRule type="cellIs" dxfId="18" priority="16" stopIfTrue="1" operator="equal">
      <formula>0</formula>
    </cfRule>
  </conditionalFormatting>
  <conditionalFormatting sqref="K21:K23 L25:P25 Q25:U27 N33:P33">
    <cfRule type="cellIs" dxfId="17" priority="69" stopIfTrue="1" operator="equal">
      <formula>0</formula>
    </cfRule>
  </conditionalFormatting>
  <conditionalFormatting sqref="K25:K27">
    <cfRule type="cellIs" dxfId="16" priority="27" stopIfTrue="1" operator="equal">
      <formula>0</formula>
    </cfRule>
  </conditionalFormatting>
  <conditionalFormatting sqref="K35:K38">
    <cfRule type="cellIs" dxfId="15" priority="25" stopIfTrue="1" operator="equal">
      <formula>0</formula>
    </cfRule>
  </conditionalFormatting>
  <conditionalFormatting sqref="K37:L38">
    <cfRule type="containsBlanks" priority="24">
      <formula>LEN(TRIM(K37))=0</formula>
    </cfRule>
  </conditionalFormatting>
  <conditionalFormatting sqref="L18 H20:M20 N20:U24 I21:M24">
    <cfRule type="containsBlanks" priority="57">
      <formula>LEN(TRIM(H18))=0</formula>
    </cfRule>
  </conditionalFormatting>
  <conditionalFormatting sqref="L18">
    <cfRule type="cellIs" dxfId="14" priority="17" stopIfTrue="1" operator="equal">
      <formula>0</formula>
    </cfRule>
  </conditionalFormatting>
  <conditionalFormatting sqref="M26:O26">
    <cfRule type="cellIs" dxfId="13" priority="19" stopIfTrue="1" operator="equal">
      <formula>0</formula>
    </cfRule>
  </conditionalFormatting>
  <conditionalFormatting sqref="N37:O38">
    <cfRule type="containsBlanks" priority="2">
      <formula>LEN(TRIM(N37))=0</formula>
    </cfRule>
  </conditionalFormatting>
  <conditionalFormatting sqref="O28:O32">
    <cfRule type="cellIs" dxfId="12" priority="3" stopIfTrue="1" operator="equal">
      <formula>0</formula>
    </cfRule>
    <cfRule type="containsBlanks" priority="4">
      <formula>LEN(TRIM(O28))=0</formula>
    </cfRule>
  </conditionalFormatting>
  <conditionalFormatting sqref="O37:O38">
    <cfRule type="cellIs" dxfId="11" priority="1" stopIfTrue="1" operator="equal">
      <formula>0</formula>
    </cfRule>
  </conditionalFormatting>
  <conditionalFormatting sqref="T37:U38 N37:N38">
    <cfRule type="cellIs" dxfId="10" priority="15" stopIfTrue="1" operator="equal">
      <formula>0</formula>
    </cfRule>
  </conditionalFormatting>
  <conditionalFormatting sqref="T37:U38">
    <cfRule type="containsBlanks" priority="14">
      <formula>LEN(TRIM(T37))=0</formula>
    </cfRule>
  </conditionalFormatting>
  <conditionalFormatting sqref="W42:X42 Z42 AB42 AD42:AL42 Y48:AE48">
    <cfRule type="cellIs" dxfId="9" priority="53" operator="notEqual">
      <formula>""</formula>
    </cfRule>
    <cfRule type="containsText" dxfId="8" priority="54" operator="containsText" text="&quot;&quot;">
      <formula>NOT(ISERROR(SEARCH("""""",W42)))</formula>
    </cfRule>
  </conditionalFormatting>
  <conditionalFormatting sqref="Y48:AE48 W42:X42 Z42 AB42 AD42:AL42">
    <cfRule type="containsText" dxfId="7" priority="51" operator="containsText" text="!">
      <formula>NOT(ISERROR(SEARCH("!",W42)))</formula>
    </cfRule>
  </conditionalFormatting>
  <conditionalFormatting sqref="AD48:AE48">
    <cfRule type="containsText" dxfId="6" priority="41" operator="containsText" text="k.A.">
      <formula>NOT(ISERROR(SEARCH("k.A.",AD48)))</formula>
    </cfRule>
  </conditionalFormatting>
  <conditionalFormatting sqref="AE20:AE24">
    <cfRule type="cellIs" dxfId="5" priority="9" stopIfTrue="1" operator="equal">
      <formula>0</formula>
    </cfRule>
    <cfRule type="containsBlanks" priority="10">
      <formula>LEN(TRIM(AE20))=0</formula>
    </cfRule>
  </conditionalFormatting>
  <conditionalFormatting sqref="AE28:AE32">
    <cfRule type="cellIs" dxfId="4" priority="5" stopIfTrue="1" operator="equal">
      <formula>0</formula>
    </cfRule>
    <cfRule type="containsBlanks" priority="6">
      <formula>LEN(TRIM(AE28))=0</formula>
    </cfRule>
  </conditionalFormatting>
  <conditionalFormatting sqref="AL26 AM34:AM38">
    <cfRule type="containsText" dxfId="3" priority="40" operator="containsText" text="?">
      <formula>NOT(ISERROR(SEARCH("?",AL26)))</formula>
    </cfRule>
  </conditionalFormatting>
  <printOptions horizontalCentered="1"/>
  <pageMargins left="0.31496062992125984" right="0.31496062992125984" top="0.70866141732283472" bottom="0.35433070866141736" header="0.51181102362204722" footer="0.11811023622047245"/>
  <pageSetup paperSize="9" scale="55" orientation="landscape" r:id="rId3"/>
  <headerFooter>
    <oddFooter>&amp;L&amp;F&amp;A&amp;R&amp;D  &amp;T</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1056" r:id="rId6" name="Drop Down 32">
              <controlPr locked="0" defaultSize="0" print="0" autoFill="0" autoLine="0" autoPict="0">
                <anchor moveWithCells="1">
                  <from>
                    <xdr:col>2</xdr:col>
                    <xdr:colOff>0</xdr:colOff>
                    <xdr:row>20</xdr:row>
                    <xdr:rowOff>0</xdr:rowOff>
                  </from>
                  <to>
                    <xdr:col>6</xdr:col>
                    <xdr:colOff>38100</xdr:colOff>
                    <xdr:row>21</xdr:row>
                    <xdr:rowOff>0</xdr:rowOff>
                  </to>
                </anchor>
              </controlPr>
            </control>
          </mc:Choice>
        </mc:AlternateContent>
        <mc:AlternateContent xmlns:mc="http://schemas.openxmlformats.org/markup-compatibility/2006">
          <mc:Choice Requires="x14">
            <control shapeId="1057" r:id="rId7" name="Drop Down 33">
              <controlPr locked="0" defaultSize="0" print="0" autoFill="0" autoLine="0" autoPict="0">
                <anchor moveWithCells="1">
                  <from>
                    <xdr:col>2</xdr:col>
                    <xdr:colOff>0</xdr:colOff>
                    <xdr:row>21</xdr:row>
                    <xdr:rowOff>12700</xdr:rowOff>
                  </from>
                  <to>
                    <xdr:col>6</xdr:col>
                    <xdr:colOff>38100</xdr:colOff>
                    <xdr:row>22</xdr:row>
                    <xdr:rowOff>0</xdr:rowOff>
                  </to>
                </anchor>
              </controlPr>
            </control>
          </mc:Choice>
        </mc:AlternateContent>
        <mc:AlternateContent xmlns:mc="http://schemas.openxmlformats.org/markup-compatibility/2006">
          <mc:Choice Requires="x14">
            <control shapeId="1058" r:id="rId8" name="Drop Down 34">
              <controlPr locked="0" defaultSize="0" print="0" autoFill="0" autoLine="0" autoPict="0">
                <anchor moveWithCells="1">
                  <from>
                    <xdr:col>2</xdr:col>
                    <xdr:colOff>0</xdr:colOff>
                    <xdr:row>22</xdr:row>
                    <xdr:rowOff>0</xdr:rowOff>
                  </from>
                  <to>
                    <xdr:col>6</xdr:col>
                    <xdr:colOff>38100</xdr:colOff>
                    <xdr:row>23</xdr:row>
                    <xdr:rowOff>0</xdr:rowOff>
                  </to>
                </anchor>
              </controlPr>
            </control>
          </mc:Choice>
        </mc:AlternateContent>
        <mc:AlternateContent xmlns:mc="http://schemas.openxmlformats.org/markup-compatibility/2006">
          <mc:Choice Requires="x14">
            <control shapeId="1071" r:id="rId9" name="Drop Down 47">
              <controlPr locked="0" defaultSize="0" print="0" autoFill="0" autoLine="0" autoPict="0">
                <anchor moveWithCells="1">
                  <from>
                    <xdr:col>2</xdr:col>
                    <xdr:colOff>0</xdr:colOff>
                    <xdr:row>27</xdr:row>
                    <xdr:rowOff>0</xdr:rowOff>
                  </from>
                  <to>
                    <xdr:col>6</xdr:col>
                    <xdr:colOff>31750</xdr:colOff>
                    <xdr:row>28</xdr:row>
                    <xdr:rowOff>31750</xdr:rowOff>
                  </to>
                </anchor>
              </controlPr>
            </control>
          </mc:Choice>
        </mc:AlternateContent>
        <mc:AlternateContent xmlns:mc="http://schemas.openxmlformats.org/markup-compatibility/2006">
          <mc:Choice Requires="x14">
            <control shapeId="1073" r:id="rId10" name="Drop Down 49">
              <controlPr locked="0" defaultSize="0" print="0" autoFill="0" autoLine="0" autoPict="0">
                <anchor moveWithCells="1">
                  <from>
                    <xdr:col>2</xdr:col>
                    <xdr:colOff>0</xdr:colOff>
                    <xdr:row>36</xdr:row>
                    <xdr:rowOff>0</xdr:rowOff>
                  </from>
                  <to>
                    <xdr:col>6</xdr:col>
                    <xdr:colOff>38100</xdr:colOff>
                    <xdr:row>37</xdr:row>
                    <xdr:rowOff>0</xdr:rowOff>
                  </to>
                </anchor>
              </controlPr>
            </control>
          </mc:Choice>
        </mc:AlternateContent>
        <mc:AlternateContent xmlns:mc="http://schemas.openxmlformats.org/markup-compatibility/2006">
          <mc:Choice Requires="x14">
            <control shapeId="1075" r:id="rId11" name="Drop Down 51">
              <controlPr locked="0" defaultSize="0" print="0" autoFill="0" autoLine="0" autoPict="0">
                <anchor moveWithCells="1">
                  <from>
                    <xdr:col>2</xdr:col>
                    <xdr:colOff>0</xdr:colOff>
                    <xdr:row>29</xdr:row>
                    <xdr:rowOff>222250</xdr:rowOff>
                  </from>
                  <to>
                    <xdr:col>6</xdr:col>
                    <xdr:colOff>38100</xdr:colOff>
                    <xdr:row>31</xdr:row>
                    <xdr:rowOff>0</xdr:rowOff>
                  </to>
                </anchor>
              </controlPr>
            </control>
          </mc:Choice>
        </mc:AlternateContent>
        <mc:AlternateContent xmlns:mc="http://schemas.openxmlformats.org/markup-compatibility/2006">
          <mc:Choice Requires="x14">
            <control shapeId="1139" r:id="rId12" name="Drop Down 115">
              <controlPr locked="0" defaultSize="0" print="0" autoFill="0" autoLine="0" autoPict="0">
                <anchor moveWithCells="1">
                  <from>
                    <xdr:col>2</xdr:col>
                    <xdr:colOff>0</xdr:colOff>
                    <xdr:row>27</xdr:row>
                    <xdr:rowOff>222250</xdr:rowOff>
                  </from>
                  <to>
                    <xdr:col>6</xdr:col>
                    <xdr:colOff>38100</xdr:colOff>
                    <xdr:row>29</xdr:row>
                    <xdr:rowOff>0</xdr:rowOff>
                  </to>
                </anchor>
              </controlPr>
            </control>
          </mc:Choice>
        </mc:AlternateContent>
        <mc:AlternateContent xmlns:mc="http://schemas.openxmlformats.org/markup-compatibility/2006">
          <mc:Choice Requires="x14">
            <control shapeId="1151" r:id="rId13" name="Group Box 127">
              <controlPr defaultSize="0" print="0" autoFill="0" autoPict="0">
                <anchor moveWithCells="1">
                  <from>
                    <xdr:col>2</xdr:col>
                    <xdr:colOff>0</xdr:colOff>
                    <xdr:row>3</xdr:row>
                    <xdr:rowOff>12700</xdr:rowOff>
                  </from>
                  <to>
                    <xdr:col>7</xdr:col>
                    <xdr:colOff>19050</xdr:colOff>
                    <xdr:row>6</xdr:row>
                    <xdr:rowOff>12700</xdr:rowOff>
                  </to>
                </anchor>
              </controlPr>
            </control>
          </mc:Choice>
        </mc:AlternateContent>
        <mc:AlternateContent xmlns:mc="http://schemas.openxmlformats.org/markup-compatibility/2006">
          <mc:Choice Requires="x14">
            <control shapeId="1207" r:id="rId14" name="Drop Down 183">
              <controlPr locked="0" defaultSize="0" print="0" autoFill="0" autoLine="0" autoPict="0">
                <anchor moveWithCells="1">
                  <from>
                    <xdr:col>2</xdr:col>
                    <xdr:colOff>0</xdr:colOff>
                    <xdr:row>36</xdr:row>
                    <xdr:rowOff>222250</xdr:rowOff>
                  </from>
                  <to>
                    <xdr:col>6</xdr:col>
                    <xdr:colOff>38100</xdr:colOff>
                    <xdr:row>37</xdr:row>
                    <xdr:rowOff>228600</xdr:rowOff>
                  </to>
                </anchor>
              </controlPr>
            </control>
          </mc:Choice>
        </mc:AlternateContent>
        <mc:AlternateContent xmlns:mc="http://schemas.openxmlformats.org/markup-compatibility/2006">
          <mc:Choice Requires="x14">
            <control shapeId="2" r:id="rId15" name="Option Button 184">
              <controlPr locked="0" defaultSize="0" autoFill="0" autoLine="0" autoPict="0">
                <anchor moveWithCells="1">
                  <from>
                    <xdr:col>3</xdr:col>
                    <xdr:colOff>38100</xdr:colOff>
                    <xdr:row>3</xdr:row>
                    <xdr:rowOff>12700</xdr:rowOff>
                  </from>
                  <to>
                    <xdr:col>3</xdr:col>
                    <xdr:colOff>342900</xdr:colOff>
                    <xdr:row>4</xdr:row>
                    <xdr:rowOff>31750</xdr:rowOff>
                  </to>
                </anchor>
              </controlPr>
            </control>
          </mc:Choice>
        </mc:AlternateContent>
        <mc:AlternateContent xmlns:mc="http://schemas.openxmlformats.org/markup-compatibility/2006">
          <mc:Choice Requires="x14">
            <control shapeId="1215" r:id="rId16" name="Drop Down 191">
              <controlPr locked="0" defaultSize="0" print="0" autoFill="0" autoLine="0" autoPict="0">
                <anchor moveWithCells="1">
                  <from>
                    <xdr:col>2</xdr:col>
                    <xdr:colOff>0</xdr:colOff>
                    <xdr:row>22</xdr:row>
                    <xdr:rowOff>241300</xdr:rowOff>
                  </from>
                  <to>
                    <xdr:col>6</xdr:col>
                    <xdr:colOff>38100</xdr:colOff>
                    <xdr:row>24</xdr:row>
                    <xdr:rowOff>0</xdr:rowOff>
                  </to>
                </anchor>
              </controlPr>
            </control>
          </mc:Choice>
        </mc:AlternateContent>
        <mc:AlternateContent xmlns:mc="http://schemas.openxmlformats.org/markup-compatibility/2006">
          <mc:Choice Requires="x14">
            <control shapeId="1216" r:id="rId17" name="Drop Down 192">
              <controlPr locked="0" defaultSize="0" print="0" autoFill="0" autoLine="0" autoPict="0">
                <anchor moveWithCells="1">
                  <from>
                    <xdr:col>2</xdr:col>
                    <xdr:colOff>0</xdr:colOff>
                    <xdr:row>28</xdr:row>
                    <xdr:rowOff>228600</xdr:rowOff>
                  </from>
                  <to>
                    <xdr:col>6</xdr:col>
                    <xdr:colOff>38100</xdr:colOff>
                    <xdr:row>29</xdr:row>
                    <xdr:rowOff>222250</xdr:rowOff>
                  </to>
                </anchor>
              </controlPr>
            </control>
          </mc:Choice>
        </mc:AlternateContent>
        <mc:AlternateContent xmlns:mc="http://schemas.openxmlformats.org/markup-compatibility/2006">
          <mc:Choice Requires="x14">
            <control shapeId="1055" r:id="rId18" name="Drop Down 31">
              <controlPr locked="0" defaultSize="0" print="0" autoFill="0" autoLine="0" autoPict="0">
                <anchor moveWithCells="1">
                  <from>
                    <xdr:col>2</xdr:col>
                    <xdr:colOff>0</xdr:colOff>
                    <xdr:row>19</xdr:row>
                    <xdr:rowOff>0</xdr:rowOff>
                  </from>
                  <to>
                    <xdr:col>6</xdr:col>
                    <xdr:colOff>38100</xdr:colOff>
                    <xdr:row>20</xdr:row>
                    <xdr:rowOff>0</xdr:rowOff>
                  </to>
                </anchor>
              </controlPr>
            </control>
          </mc:Choice>
        </mc:AlternateContent>
        <mc:AlternateContent xmlns:mc="http://schemas.openxmlformats.org/markup-compatibility/2006">
          <mc:Choice Requires="x14">
            <control shapeId="1193" r:id="rId19" name="Group Box 169">
              <controlPr defaultSize="0" autoFill="0" autoPict="0">
                <anchor moveWithCells="1">
                  <from>
                    <xdr:col>8</xdr:col>
                    <xdr:colOff>0</xdr:colOff>
                    <xdr:row>3</xdr:row>
                    <xdr:rowOff>12700</xdr:rowOff>
                  </from>
                  <to>
                    <xdr:col>13</xdr:col>
                    <xdr:colOff>12700</xdr:colOff>
                    <xdr:row>6</xdr:row>
                    <xdr:rowOff>12700</xdr:rowOff>
                  </to>
                </anchor>
              </controlPr>
            </control>
          </mc:Choice>
        </mc:AlternateContent>
        <mc:AlternateContent xmlns:mc="http://schemas.openxmlformats.org/markup-compatibility/2006">
          <mc:Choice Requires="x14">
            <control shapeId="1194" r:id="rId20" name="Option Button 170">
              <controlPr locked="0" defaultSize="0" autoFill="0" autoLine="0" autoPict="0">
                <anchor moveWithCells="1">
                  <from>
                    <xdr:col>8</xdr:col>
                    <xdr:colOff>393700</xdr:colOff>
                    <xdr:row>3</xdr:row>
                    <xdr:rowOff>146050</xdr:rowOff>
                  </from>
                  <to>
                    <xdr:col>9</xdr:col>
                    <xdr:colOff>0</xdr:colOff>
                    <xdr:row>4</xdr:row>
                    <xdr:rowOff>152400</xdr:rowOff>
                  </to>
                </anchor>
              </controlPr>
            </control>
          </mc:Choice>
        </mc:AlternateContent>
        <mc:AlternateContent xmlns:mc="http://schemas.openxmlformats.org/markup-compatibility/2006">
          <mc:Choice Requires="x14">
            <control shapeId="1195" r:id="rId21" name="Option Button 171">
              <controlPr locked="0" defaultSize="0" autoFill="0" autoLine="0" autoPict="0">
                <anchor moveWithCells="1">
                  <from>
                    <xdr:col>8</xdr:col>
                    <xdr:colOff>393700</xdr:colOff>
                    <xdr:row>4</xdr:row>
                    <xdr:rowOff>133350</xdr:rowOff>
                  </from>
                  <to>
                    <xdr:col>9</xdr:col>
                    <xdr:colOff>0</xdr:colOff>
                    <xdr:row>5</xdr:row>
                    <xdr:rowOff>152400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tabColor rgb="FF92D050"/>
    <pageSetUpPr fitToPage="1"/>
  </sheetPr>
  <dimension ref="A1:U51"/>
  <sheetViews>
    <sheetView showGridLines="0" showZeros="0" topLeftCell="A16" zoomScaleNormal="100" workbookViewId="0">
      <selection activeCell="J6" sqref="J6"/>
    </sheetView>
  </sheetViews>
  <sheetFormatPr baseColWidth="10" defaultColWidth="11.453125" defaultRowHeight="12.5" zeroHeight="1" x14ac:dyDescent="0.25"/>
  <cols>
    <col min="1" max="1" width="8.1796875" style="847" bestFit="1" customWidth="1"/>
    <col min="2" max="2" width="11.81640625" style="847" hidden="1" customWidth="1"/>
    <col min="3" max="3" width="37.1796875" style="847" customWidth="1"/>
    <col min="4" max="20" width="10.26953125" style="847" customWidth="1"/>
    <col min="21" max="21" width="6.453125" style="847" customWidth="1"/>
    <col min="22" max="22" width="0.54296875" style="847" customWidth="1"/>
    <col min="23" max="35" width="11.453125" style="847" customWidth="1"/>
    <col min="36" max="16384" width="11.453125" style="847"/>
  </cols>
  <sheetData>
    <row r="1" spans="1:21" ht="18.75" customHeight="1" thickTop="1" x14ac:dyDescent="0.35">
      <c r="A1" s="133" t="s">
        <v>18</v>
      </c>
      <c r="B1" s="134"/>
      <c r="C1" s="134"/>
      <c r="D1" s="180"/>
      <c r="E1" s="180"/>
      <c r="F1" s="135"/>
      <c r="G1" s="135"/>
      <c r="H1" s="135"/>
      <c r="I1" s="135"/>
      <c r="J1" s="135"/>
      <c r="K1" s="135"/>
      <c r="L1" s="135"/>
      <c r="M1" s="135"/>
      <c r="N1" s="135"/>
      <c r="O1" s="135"/>
      <c r="P1" s="135"/>
      <c r="Q1" s="135"/>
      <c r="R1" s="135"/>
      <c r="S1" s="135"/>
      <c r="T1" s="135"/>
      <c r="U1" s="136"/>
    </row>
    <row r="2" spans="1:21" s="848" customFormat="1" ht="18.75" customHeight="1" thickBot="1" x14ac:dyDescent="0.4">
      <c r="A2" s="137"/>
      <c r="B2" s="138"/>
      <c r="C2" s="138"/>
      <c r="D2" s="53"/>
      <c r="E2" s="53"/>
      <c r="F2" s="138"/>
      <c r="G2" s="138"/>
      <c r="H2" s="138"/>
      <c r="I2" s="138"/>
      <c r="J2" s="138"/>
      <c r="K2" s="138"/>
      <c r="L2" s="138"/>
      <c r="M2" s="138"/>
      <c r="N2" s="138"/>
      <c r="O2" s="138"/>
      <c r="P2" s="138"/>
      <c r="Q2" s="138"/>
      <c r="R2" s="138"/>
      <c r="S2" s="138"/>
      <c r="T2" s="138"/>
      <c r="U2" s="139"/>
    </row>
    <row r="3" spans="1:21" s="849" customFormat="1" ht="18" thickBot="1" x14ac:dyDescent="0.4">
      <c r="A3" s="140"/>
      <c r="B3" s="141"/>
      <c r="C3" s="138"/>
      <c r="D3" s="51"/>
      <c r="E3" s="507"/>
      <c r="F3" s="142" t="s">
        <v>298</v>
      </c>
      <c r="G3" s="908" t="s">
        <v>302</v>
      </c>
      <c r="H3" s="143"/>
      <c r="I3" s="510"/>
      <c r="J3" s="144"/>
      <c r="K3" s="138"/>
      <c r="L3" s="145"/>
      <c r="M3" s="146"/>
      <c r="N3" s="146"/>
      <c r="O3" s="146"/>
      <c r="P3" s="146"/>
      <c r="Q3" s="146"/>
      <c r="R3" s="146"/>
      <c r="S3" s="146"/>
      <c r="T3" s="147"/>
      <c r="U3" s="148"/>
    </row>
    <row r="4" spans="1:21" s="850" customFormat="1" ht="18.75" customHeight="1" thickBot="1" x14ac:dyDescent="0.4">
      <c r="A4" s="137"/>
      <c r="B4" s="149"/>
      <c r="C4" s="138"/>
      <c r="D4" s="180"/>
      <c r="E4" s="508"/>
      <c r="F4" s="151" t="s">
        <v>140</v>
      </c>
      <c r="G4" s="150" t="s">
        <v>303</v>
      </c>
      <c r="H4" s="152" t="s">
        <v>1</v>
      </c>
      <c r="I4" s="152" t="s">
        <v>2</v>
      </c>
      <c r="J4" s="151" t="s">
        <v>141</v>
      </c>
      <c r="K4" s="138"/>
      <c r="L4" s="51"/>
      <c r="M4" s="153" t="s">
        <v>3</v>
      </c>
      <c r="N4" s="154"/>
      <c r="O4" s="154"/>
      <c r="P4" s="154"/>
      <c r="Q4" s="154"/>
      <c r="R4" s="154"/>
      <c r="S4" s="155"/>
      <c r="T4" s="156"/>
      <c r="U4" s="139"/>
    </row>
    <row r="5" spans="1:21" s="850" customFormat="1" ht="18.75" customHeight="1" thickBot="1" x14ac:dyDescent="0.4">
      <c r="A5" s="137"/>
      <c r="B5" s="157"/>
      <c r="C5" s="53"/>
      <c r="D5" s="53"/>
      <c r="E5" s="509"/>
      <c r="F5" s="506" t="s">
        <v>4</v>
      </c>
      <c r="G5" s="158" t="s">
        <v>5</v>
      </c>
      <c r="H5" s="159" t="s">
        <v>6</v>
      </c>
      <c r="I5" s="159" t="s">
        <v>6</v>
      </c>
      <c r="J5" s="506" t="s">
        <v>6</v>
      </c>
      <c r="K5" s="138"/>
      <c r="L5" s="51"/>
      <c r="M5" s="160" t="s">
        <v>53</v>
      </c>
      <c r="N5" s="161" t="str">
        <f>+N14</f>
        <v>Ca</v>
      </c>
      <c r="O5" s="161" t="str">
        <f t="shared" ref="O5:S6" si="0">+O14</f>
        <v>P</v>
      </c>
      <c r="P5" s="161" t="str">
        <f t="shared" si="0"/>
        <v>Mg</v>
      </c>
      <c r="Q5" s="161" t="str">
        <f t="shared" si="0"/>
        <v>Na</v>
      </c>
      <c r="R5" s="161" t="str">
        <f>+R14</f>
        <v>K</v>
      </c>
      <c r="S5" s="161" t="str">
        <f t="shared" si="0"/>
        <v>Se</v>
      </c>
      <c r="T5" s="162" t="str">
        <f>+T14</f>
        <v>DCAB</v>
      </c>
      <c r="U5" s="163"/>
    </row>
    <row r="6" spans="1:21" s="850" customFormat="1" ht="18.75" customHeight="1" thickBot="1" x14ac:dyDescent="0.4">
      <c r="A6" s="137"/>
      <c r="B6" s="164"/>
      <c r="C6" s="53"/>
      <c r="D6" s="51"/>
      <c r="E6" s="507"/>
      <c r="F6" s="202">
        <f>+'Ration Milch'!J11</f>
        <v>0</v>
      </c>
      <c r="G6" s="158">
        <f>M_kg</f>
        <v>0</v>
      </c>
      <c r="H6" s="165">
        <f>+'Ration Milch'!L11</f>
        <v>0</v>
      </c>
      <c r="I6" s="165">
        <f>+'Ration Milch'!M11</f>
        <v>0</v>
      </c>
      <c r="J6" s="511">
        <f>+'Ration Milch'!N11</f>
        <v>0</v>
      </c>
      <c r="K6" s="138"/>
      <c r="L6" s="166"/>
      <c r="M6" s="167" t="s">
        <v>4</v>
      </c>
      <c r="N6" s="168" t="str">
        <f>+N15</f>
        <v xml:space="preserve">g </v>
      </c>
      <c r="O6" s="168" t="str">
        <f t="shared" si="0"/>
        <v>g</v>
      </c>
      <c r="P6" s="168" t="str">
        <f t="shared" si="0"/>
        <v>g</v>
      </c>
      <c r="Q6" s="168" t="str">
        <f t="shared" si="0"/>
        <v>g</v>
      </c>
      <c r="R6" s="168" t="str">
        <f>+R15</f>
        <v>g</v>
      </c>
      <c r="S6" s="168" t="str">
        <f t="shared" si="0"/>
        <v>mg</v>
      </c>
      <c r="T6" s="169" t="str">
        <f>+T15</f>
        <v>meq</v>
      </c>
      <c r="U6" s="163"/>
    </row>
    <row r="7" spans="1:21" s="850" customFormat="1" ht="18.75" customHeight="1" thickBot="1" x14ac:dyDescent="0.4">
      <c r="A7" s="137"/>
      <c r="B7" s="164"/>
      <c r="C7" s="53"/>
      <c r="D7" s="180"/>
      <c r="E7" s="180"/>
      <c r="F7" s="46"/>
      <c r="G7" s="46"/>
      <c r="H7" s="46"/>
      <c r="I7" s="53" t="s">
        <v>66</v>
      </c>
      <c r="J7" s="46"/>
      <c r="K7" s="170"/>
      <c r="L7" s="171"/>
      <c r="M7" s="172">
        <f>+M37</f>
        <v>0</v>
      </c>
      <c r="N7" s="160">
        <f>1/0.5</f>
        <v>2</v>
      </c>
      <c r="O7" s="479">
        <f>1/0.8</f>
        <v>1.25</v>
      </c>
      <c r="P7" s="479">
        <f>0.2/0.2</f>
        <v>1</v>
      </c>
      <c r="Q7" s="479">
        <f>1/0.95</f>
        <v>1.0526315789473684</v>
      </c>
      <c r="R7" s="479">
        <f>10/0.95</f>
        <v>10.526315789473685</v>
      </c>
      <c r="S7" s="183"/>
      <c r="T7" s="184"/>
      <c r="U7" s="163"/>
    </row>
    <row r="8" spans="1:21" s="850" customFormat="1" ht="18.75" customHeight="1" thickBot="1" x14ac:dyDescent="0.4">
      <c r="A8" s="137"/>
      <c r="B8" s="173"/>
      <c r="C8" s="53"/>
      <c r="D8" s="53"/>
      <c r="E8" s="46"/>
      <c r="F8" s="46"/>
      <c r="G8" s="46"/>
      <c r="H8" s="46"/>
      <c r="I8" s="46"/>
      <c r="J8" s="46"/>
      <c r="K8" s="46"/>
      <c r="L8" s="174" t="s">
        <v>19</v>
      </c>
      <c r="M8" s="175"/>
      <c r="N8" s="176">
        <f>+N7*$M$7</f>
        <v>0</v>
      </c>
      <c r="O8" s="177">
        <f t="shared" ref="O8:R8" si="1">+O7*$M$7</f>
        <v>0</v>
      </c>
      <c r="P8" s="177">
        <f t="shared" si="1"/>
        <v>0</v>
      </c>
      <c r="Q8" s="177">
        <f t="shared" si="1"/>
        <v>0</v>
      </c>
      <c r="R8" s="177">
        <f t="shared" si="1"/>
        <v>0</v>
      </c>
      <c r="S8" s="178">
        <f>+S7*$M$7</f>
        <v>0</v>
      </c>
      <c r="T8" s="179"/>
      <c r="U8" s="163"/>
    </row>
    <row r="9" spans="1:21" s="850" customFormat="1" ht="18.75" customHeight="1" x14ac:dyDescent="0.35">
      <c r="A9" s="140"/>
      <c r="B9" s="173"/>
      <c r="C9" s="180">
        <v>0</v>
      </c>
      <c r="D9" s="53"/>
      <c r="E9" s="181"/>
      <c r="F9" s="182"/>
      <c r="G9" s="170"/>
      <c r="H9" s="170"/>
      <c r="I9" s="53" t="s">
        <v>67</v>
      </c>
      <c r="J9" s="170"/>
      <c r="K9" s="45"/>
      <c r="L9" s="45"/>
      <c r="M9" s="175"/>
      <c r="N9" s="160">
        <f>1.25/0.5</f>
        <v>2.5</v>
      </c>
      <c r="O9" s="479">
        <f>0.99/0.8</f>
        <v>1.2374999999999998</v>
      </c>
      <c r="P9" s="479">
        <f>0.11/0.2</f>
        <v>0.54999999999999993</v>
      </c>
      <c r="Q9" s="479">
        <f>0.37/0.95</f>
        <v>0.38947368421052631</v>
      </c>
      <c r="R9" s="479">
        <f>1.58/0.95</f>
        <v>1.6631578947368422</v>
      </c>
      <c r="S9" s="183"/>
      <c r="T9" s="184"/>
      <c r="U9" s="185"/>
    </row>
    <row r="10" spans="1:21" s="850" customFormat="1" ht="18.75" customHeight="1" thickBot="1" x14ac:dyDescent="0.4">
      <c r="A10" s="140"/>
      <c r="B10" s="173"/>
      <c r="C10" s="53"/>
      <c r="D10" s="53"/>
      <c r="E10" s="51"/>
      <c r="F10" s="46"/>
      <c r="G10" s="186"/>
      <c r="H10" s="46"/>
      <c r="I10" s="46"/>
      <c r="J10" s="170"/>
      <c r="K10" s="170"/>
      <c r="L10" s="174" t="s">
        <v>20</v>
      </c>
      <c r="M10" s="175"/>
      <c r="N10" s="176">
        <f>+IF($G$6=0,0,$G$6*N9)</f>
        <v>0</v>
      </c>
      <c r="O10" s="177">
        <f>+IF($G$6=0,0,$G$6*O9)</f>
        <v>0</v>
      </c>
      <c r="P10" s="177">
        <f>+IF($G$6=0,0,$G$6*P9)</f>
        <v>0</v>
      </c>
      <c r="Q10" s="177">
        <f>+IF($G$6=0,0,$G$6*Q9)</f>
        <v>0</v>
      </c>
      <c r="R10" s="177">
        <f>+IF($G$6=0,0,$G$6*R9)</f>
        <v>0</v>
      </c>
      <c r="S10" s="178">
        <f>+IF($G$6="t",0,$G$6*S9)</f>
        <v>0</v>
      </c>
      <c r="T10" s="179"/>
      <c r="U10" s="139"/>
    </row>
    <row r="11" spans="1:21" s="850" customFormat="1" ht="18.75" customHeight="1" thickBot="1" x14ac:dyDescent="0.4">
      <c r="A11" s="140"/>
      <c r="B11" s="187"/>
      <c r="C11" s="51"/>
      <c r="D11" s="51"/>
      <c r="E11" s="46"/>
      <c r="F11" s="46"/>
      <c r="G11" s="46"/>
      <c r="H11" s="46"/>
      <c r="I11" s="46"/>
      <c r="J11" s="46"/>
      <c r="K11" s="46"/>
      <c r="L11" s="46"/>
      <c r="M11" s="46"/>
      <c r="N11" s="188">
        <f t="shared" ref="N11:R11" si="2">N10+N8</f>
        <v>0</v>
      </c>
      <c r="O11" s="189">
        <f t="shared" si="2"/>
        <v>0</v>
      </c>
      <c r="P11" s="190">
        <f t="shared" si="2"/>
        <v>0</v>
      </c>
      <c r="Q11" s="191">
        <f t="shared" si="2"/>
        <v>0</v>
      </c>
      <c r="R11" s="191">
        <f t="shared" si="2"/>
        <v>0</v>
      </c>
      <c r="S11" s="192">
        <f>0.2*M7</f>
        <v>0</v>
      </c>
      <c r="T11" s="193" t="str">
        <f>IF(M_kg="T","&lt;"&amp;DCAB_t_max,DCAB_lakt_min&amp;"-"&amp;DCAB_lakt_max)</f>
        <v>200-350</v>
      </c>
      <c r="U11" s="194"/>
    </row>
    <row r="12" spans="1:21" s="850" customFormat="1" ht="4.5" customHeight="1" thickBot="1" x14ac:dyDescent="0.4">
      <c r="A12" s="140"/>
      <c r="B12" s="187"/>
      <c r="C12" s="51"/>
      <c r="D12" s="51"/>
      <c r="E12" s="46"/>
      <c r="F12" s="51"/>
      <c r="G12" s="51"/>
      <c r="H12" s="51"/>
      <c r="I12" s="51"/>
      <c r="J12" s="51"/>
      <c r="K12" s="46"/>
      <c r="L12" s="46"/>
      <c r="M12" s="46"/>
      <c r="N12" s="46"/>
      <c r="O12" s="195"/>
      <c r="P12" s="195"/>
      <c r="Q12" s="195"/>
      <c r="R12" s="195"/>
      <c r="S12" s="196"/>
      <c r="T12" s="196"/>
      <c r="U12" s="139"/>
    </row>
    <row r="13" spans="1:21" s="850" customFormat="1" ht="18.75" customHeight="1" thickBot="1" x14ac:dyDescent="0.4">
      <c r="A13" s="140"/>
      <c r="B13" s="197" t="s">
        <v>13</v>
      </c>
      <c r="C13" s="51"/>
      <c r="D13" s="198"/>
      <c r="E13" s="199" t="s">
        <v>65</v>
      </c>
      <c r="F13" s="200"/>
      <c r="G13" s="200"/>
      <c r="H13" s="200"/>
      <c r="I13" s="200"/>
      <c r="J13" s="200"/>
      <c r="K13" s="156"/>
      <c r="L13" s="199"/>
      <c r="M13" s="201" t="s">
        <v>14</v>
      </c>
      <c r="N13" s="200"/>
      <c r="O13" s="200"/>
      <c r="P13" s="200"/>
      <c r="Q13" s="200"/>
      <c r="R13" s="200"/>
      <c r="S13" s="200"/>
      <c r="T13" s="202"/>
      <c r="U13" s="139"/>
    </row>
    <row r="14" spans="1:21" s="850" customFormat="1" ht="18.75" customHeight="1" thickBot="1" x14ac:dyDescent="0.4">
      <c r="A14" s="140"/>
      <c r="B14" s="187"/>
      <c r="C14" s="51"/>
      <c r="D14" s="203" t="s">
        <v>53</v>
      </c>
      <c r="E14" s="203" t="str">
        <f>Futterwerte!AI6</f>
        <v>Ca</v>
      </c>
      <c r="F14" s="204" t="str">
        <f>Futterwerte!AJ6</f>
        <v>P</v>
      </c>
      <c r="G14" s="204" t="str">
        <f>Futterwerte!AK6</f>
        <v>Mg</v>
      </c>
      <c r="H14" s="204" t="str">
        <f>Futterwerte!AL6</f>
        <v>Na</v>
      </c>
      <c r="I14" s="204" t="str">
        <f>Futterwerte!AM6</f>
        <v>K</v>
      </c>
      <c r="J14" s="204" t="str">
        <f>Futterwerte!AN6</f>
        <v>Se</v>
      </c>
      <c r="K14" s="204" t="str">
        <f>Futterwerte!AO6</f>
        <v>DCAB</v>
      </c>
      <c r="L14" s="205" t="str">
        <f>'Ration Milch'!V18</f>
        <v>FM kg</v>
      </c>
      <c r="M14" s="206" t="str">
        <f>'Ration Milch'!W18</f>
        <v>TM kg</v>
      </c>
      <c r="N14" s="203" t="str">
        <f>+E14</f>
        <v>Ca</v>
      </c>
      <c r="O14" s="207" t="str">
        <f t="shared" ref="O14:T14" si="3">+F14</f>
        <v>P</v>
      </c>
      <c r="P14" s="207" t="str">
        <f t="shared" si="3"/>
        <v>Mg</v>
      </c>
      <c r="Q14" s="207" t="str">
        <f t="shared" si="3"/>
        <v>Na</v>
      </c>
      <c r="R14" s="207" t="str">
        <f t="shared" si="3"/>
        <v>K</v>
      </c>
      <c r="S14" s="207" t="str">
        <f t="shared" si="3"/>
        <v>Se</v>
      </c>
      <c r="T14" s="208" t="str">
        <f t="shared" si="3"/>
        <v>DCAB</v>
      </c>
      <c r="U14" s="209"/>
    </row>
    <row r="15" spans="1:21" s="850" customFormat="1" ht="18.75" customHeight="1" thickBot="1" x14ac:dyDescent="0.4">
      <c r="A15" s="140"/>
      <c r="B15" s="210"/>
      <c r="C15" s="211" t="s">
        <v>47</v>
      </c>
      <c r="D15" s="167" t="s">
        <v>6</v>
      </c>
      <c r="E15" s="212" t="s">
        <v>26</v>
      </c>
      <c r="F15" s="213" t="s">
        <v>9</v>
      </c>
      <c r="G15" s="213" t="s">
        <v>9</v>
      </c>
      <c r="H15" s="213" t="s">
        <v>9</v>
      </c>
      <c r="I15" s="214" t="s">
        <v>9</v>
      </c>
      <c r="J15" s="215" t="s">
        <v>91</v>
      </c>
      <c r="K15" s="216" t="s">
        <v>103</v>
      </c>
      <c r="L15" s="217" t="str">
        <f>'Ration Milch'!V19</f>
        <v>kg</v>
      </c>
      <c r="M15" s="217" t="str">
        <f>'Ration Milch'!W19</f>
        <v>kg</v>
      </c>
      <c r="N15" s="167" t="str">
        <f>E15</f>
        <v xml:space="preserve">g </v>
      </c>
      <c r="O15" s="218" t="str">
        <f t="shared" ref="O15:T15" si="4">F15</f>
        <v>g</v>
      </c>
      <c r="P15" s="218" t="str">
        <f t="shared" si="4"/>
        <v>g</v>
      </c>
      <c r="Q15" s="218" t="str">
        <f t="shared" si="4"/>
        <v>g</v>
      </c>
      <c r="R15" s="218" t="str">
        <f t="shared" si="4"/>
        <v>g</v>
      </c>
      <c r="S15" s="218" t="str">
        <f t="shared" si="4"/>
        <v>mg</v>
      </c>
      <c r="T15" s="219" t="str">
        <f t="shared" si="4"/>
        <v>meq</v>
      </c>
      <c r="U15" s="163"/>
    </row>
    <row r="16" spans="1:21" s="851" customFormat="1" ht="18.75" customHeight="1" thickBot="1" x14ac:dyDescent="0.4">
      <c r="A16" s="140"/>
      <c r="B16" s="220">
        <f>+'Ration Milch'!C20</f>
        <v>15</v>
      </c>
      <c r="C16" s="221">
        <f>INDEX(Tabelle,$B16,2)</f>
        <v>0</v>
      </c>
      <c r="D16" s="230" t="str">
        <f>IF(INDEX(Tabelle,$B16,3)="","",INDEX(Tabelle,$B16,3)/10)</f>
        <v/>
      </c>
      <c r="E16" s="223">
        <f>ROUND(INDEX(Tabelle,$B16,35),1)</f>
        <v>0</v>
      </c>
      <c r="F16" s="224">
        <f>ROUND(INDEX(Tabelle,$B16,36),1)</f>
        <v>0</v>
      </c>
      <c r="G16" s="224">
        <f>ROUND(INDEX(Tabelle,$B16,37),1)</f>
        <v>0</v>
      </c>
      <c r="H16" s="224">
        <f>ROUND(INDEX(Tabelle,$B16,38),1)</f>
        <v>0</v>
      </c>
      <c r="I16" s="224">
        <f>ROUND(INDEX(Tabelle,$B16,39),1)</f>
        <v>0</v>
      </c>
      <c r="J16" s="878">
        <f>ROUND(INDEX(Tabelle,$B16,40),2)</f>
        <v>0</v>
      </c>
      <c r="K16" s="904">
        <f>ROUND(INDEX(Tabelle,$B16,41),0)</f>
        <v>0</v>
      </c>
      <c r="L16" s="226">
        <f>'Ration Milch'!V20</f>
        <v>0</v>
      </c>
      <c r="M16" s="226">
        <f>'Ration Milch'!W20</f>
        <v>0</v>
      </c>
      <c r="N16" s="227">
        <f>M16*E16</f>
        <v>0</v>
      </c>
      <c r="O16" s="224">
        <f>M16*F16</f>
        <v>0</v>
      </c>
      <c r="P16" s="224">
        <f>M16*G16</f>
        <v>0</v>
      </c>
      <c r="Q16" s="224">
        <f>+M16*H16</f>
        <v>0</v>
      </c>
      <c r="R16" s="224">
        <f>+M16*I16</f>
        <v>0</v>
      </c>
      <c r="S16" s="878">
        <f>+M16*J16</f>
        <v>0</v>
      </c>
      <c r="T16" s="228">
        <f>+M16*K16</f>
        <v>0</v>
      </c>
      <c r="U16" s="67" t="str">
        <f>IF(M16=0,"",IF(COUNTIF(C16:J16,0)&gt;0,"?",""))</f>
        <v/>
      </c>
    </row>
    <row r="17" spans="1:21" s="851" customFormat="1" ht="18.75" customHeight="1" thickBot="1" x14ac:dyDescent="0.4">
      <c r="A17" s="140"/>
      <c r="B17" s="220">
        <f>+'Ration Milch'!C21</f>
        <v>15</v>
      </c>
      <c r="C17" s="229">
        <f>INDEX(Tabelle,$B17,2)</f>
        <v>0</v>
      </c>
      <c r="D17" s="230" t="str">
        <f>IF(INDEX(Tabelle,$B17,3)="","",INDEX(Tabelle,$B17,3)/10)</f>
        <v/>
      </c>
      <c r="E17" s="900">
        <f>ROUND(INDEX(Tabelle,$B17,35),1)</f>
        <v>0</v>
      </c>
      <c r="F17" s="906">
        <f>ROUND(INDEX(Tabelle,$B17,36),1)</f>
        <v>0</v>
      </c>
      <c r="G17" s="232">
        <f>ROUND(INDEX(Tabelle,$B17,37),1)</f>
        <v>0</v>
      </c>
      <c r="H17" s="901">
        <f>ROUND(INDEX(Tabelle,$B17,38),1)</f>
        <v>0</v>
      </c>
      <c r="I17" s="901">
        <f>ROUND(INDEX(Tabelle,$B17,39),1)</f>
        <v>0</v>
      </c>
      <c r="J17" s="902">
        <f>ROUND(INDEX(Tabelle,$B17,40),2)</f>
        <v>0</v>
      </c>
      <c r="K17" s="905">
        <f>ROUND(INDEX(Tabelle,$B17,41),0)</f>
        <v>0</v>
      </c>
      <c r="L17" s="233">
        <f>'Ration Milch'!V21</f>
        <v>0</v>
      </c>
      <c r="M17" s="233">
        <f>'Ration Milch'!W21</f>
        <v>0</v>
      </c>
      <c r="N17" s="234">
        <f>M17*E17</f>
        <v>0</v>
      </c>
      <c r="O17" s="231">
        <f>M17*F17</f>
        <v>0</v>
      </c>
      <c r="P17" s="231">
        <f>M17*G17</f>
        <v>0</v>
      </c>
      <c r="Q17" s="231">
        <f>+M17*H17</f>
        <v>0</v>
      </c>
      <c r="R17" s="231">
        <f>+M17*I17</f>
        <v>0</v>
      </c>
      <c r="S17" s="879">
        <f>+M17*J17</f>
        <v>0</v>
      </c>
      <c r="T17" s="228">
        <f>+M17*K17</f>
        <v>0</v>
      </c>
      <c r="U17" s="67" t="str">
        <f>IF(M17=0,"",IF(COUNTIF(C17:J17,0)&gt;0,"?",""))</f>
        <v/>
      </c>
    </row>
    <row r="18" spans="1:21" s="851" customFormat="1" ht="18.75" customHeight="1" thickBot="1" x14ac:dyDescent="0.4">
      <c r="A18" s="140"/>
      <c r="B18" s="220">
        <f>+'Ration Milch'!C22</f>
        <v>15</v>
      </c>
      <c r="C18" s="229">
        <f>INDEX(Tabelle,$B18,2)</f>
        <v>0</v>
      </c>
      <c r="D18" s="230" t="str">
        <f>IF(INDEX(Tabelle,$B18,3)="","",INDEX(Tabelle,$B18,3)/10)</f>
        <v/>
      </c>
      <c r="E18" s="900">
        <f>ROUND(INDEX(Tabelle,$B18,35),1)</f>
        <v>0</v>
      </c>
      <c r="F18" s="906">
        <f>ROUND(INDEX(Tabelle,$B18,36),1)</f>
        <v>0</v>
      </c>
      <c r="G18" s="232">
        <f>ROUND(INDEX(Tabelle,$B18,37),1)</f>
        <v>0</v>
      </c>
      <c r="H18" s="901">
        <f>ROUND(INDEX(Tabelle,$B18,38),1)</f>
        <v>0</v>
      </c>
      <c r="I18" s="901">
        <f>ROUND(INDEX(Tabelle,$B18,39),1)</f>
        <v>0</v>
      </c>
      <c r="J18" s="902">
        <f>ROUND(INDEX(Tabelle,$B18,40),2)</f>
        <v>0</v>
      </c>
      <c r="K18" s="905">
        <f>ROUND(INDEX(Tabelle,$B18,41),0)</f>
        <v>0</v>
      </c>
      <c r="L18" s="233">
        <f>'Ration Milch'!V22</f>
        <v>0</v>
      </c>
      <c r="M18" s="233">
        <f>'Ration Milch'!W22</f>
        <v>0</v>
      </c>
      <c r="N18" s="234">
        <f>M18*E18</f>
        <v>0</v>
      </c>
      <c r="O18" s="231">
        <f>M18*F18</f>
        <v>0</v>
      </c>
      <c r="P18" s="231">
        <f>M18*G18</f>
        <v>0</v>
      </c>
      <c r="Q18" s="231">
        <f>+M18*H18</f>
        <v>0</v>
      </c>
      <c r="R18" s="231">
        <f>+M18*I18</f>
        <v>0</v>
      </c>
      <c r="S18" s="879">
        <f>+M18*J18</f>
        <v>0</v>
      </c>
      <c r="T18" s="228">
        <f>+M18*K18</f>
        <v>0</v>
      </c>
      <c r="U18" s="67" t="str">
        <f>IF(M18=0,"",IF(COUNTIF(C18:J18,0)&gt;0,"?",""))</f>
        <v/>
      </c>
    </row>
    <row r="19" spans="1:21" s="851" customFormat="1" ht="18.75" customHeight="1" thickBot="1" x14ac:dyDescent="0.4">
      <c r="A19" s="140"/>
      <c r="B19" s="220">
        <f>+'Ration Milch'!C23</f>
        <v>21</v>
      </c>
      <c r="C19" s="229">
        <f>INDEX(Tabelle,$B19,2)</f>
        <v>0</v>
      </c>
      <c r="D19" s="230" t="str">
        <f>IF(INDEX(Tabelle,$B19,3)="","",INDEX(Tabelle,$B19,3)/10)</f>
        <v/>
      </c>
      <c r="E19" s="900">
        <f>ROUND(INDEX(Tabelle,$B19,35),1)</f>
        <v>0</v>
      </c>
      <c r="F19" s="232">
        <f>ROUND(INDEX(Tabelle,$B19,36),1)</f>
        <v>0</v>
      </c>
      <c r="G19" s="232">
        <f>ROUND(INDEX(Tabelle,$B19,37),1)</f>
        <v>0</v>
      </c>
      <c r="H19" s="901">
        <f>ROUND(INDEX(Tabelle,$B19,38),1)</f>
        <v>0</v>
      </c>
      <c r="I19" s="901">
        <f>ROUND(INDEX(Tabelle,$B19,39),1)</f>
        <v>0</v>
      </c>
      <c r="J19" s="902">
        <f>ROUND(INDEX(Tabelle,$B19,40),2)</f>
        <v>0</v>
      </c>
      <c r="K19" s="905">
        <f>ROUND(INDEX(Tabelle,$B19,41),0)</f>
        <v>0</v>
      </c>
      <c r="L19" s="233">
        <f>'Ration Milch'!V23</f>
        <v>0</v>
      </c>
      <c r="M19" s="233">
        <f>'Ration Milch'!W23</f>
        <v>0</v>
      </c>
      <c r="N19" s="234">
        <f>M19*E19</f>
        <v>0</v>
      </c>
      <c r="O19" s="231">
        <f>M19*F19</f>
        <v>0</v>
      </c>
      <c r="P19" s="231">
        <f>M19*G19</f>
        <v>0</v>
      </c>
      <c r="Q19" s="231">
        <f>+M19*H19</f>
        <v>0</v>
      </c>
      <c r="R19" s="231">
        <f>+M19*I19</f>
        <v>0</v>
      </c>
      <c r="S19" s="879">
        <f>+M19*J19</f>
        <v>0</v>
      </c>
      <c r="T19" s="228">
        <f>+M19*K19</f>
        <v>0</v>
      </c>
      <c r="U19" s="67" t="str">
        <f>IF(M19=0,"",IF(COUNTIF(C19:J19,0)&gt;0,"?",""))</f>
        <v/>
      </c>
    </row>
    <row r="20" spans="1:21" s="851" customFormat="1" ht="18.75" customHeight="1" thickBot="1" x14ac:dyDescent="0.4">
      <c r="A20" s="140"/>
      <c r="B20" s="220">
        <f>+'Ration Milch'!C24</f>
        <v>15</v>
      </c>
      <c r="C20" s="235">
        <f>INDEX(Tabelle,$B20,2)</f>
        <v>0</v>
      </c>
      <c r="D20" s="236" t="str">
        <f>IF(INDEX(Tabelle,$B20,3)="","",INDEX(Tabelle,$B20,3)/10)</f>
        <v/>
      </c>
      <c r="E20" s="900">
        <f>ROUND(INDEX(Tabelle,$B20,35),1)</f>
        <v>0</v>
      </c>
      <c r="F20" s="901">
        <f>ROUND(INDEX(Tabelle,$B20,36),1)</f>
        <v>0</v>
      </c>
      <c r="G20" s="901">
        <f>ROUND(INDEX(Tabelle,$B20,37),1)</f>
        <v>0</v>
      </c>
      <c r="H20" s="901">
        <f>ROUND(INDEX(Tabelle,$B20,38),1)</f>
        <v>0</v>
      </c>
      <c r="I20" s="901">
        <f>ROUND(INDEX(Tabelle,$B20,39),1)</f>
        <v>0</v>
      </c>
      <c r="J20" s="902">
        <f>ROUND(INDEX(Tabelle,$B20,40),2)</f>
        <v>0</v>
      </c>
      <c r="K20" s="903">
        <f>ROUND(INDEX(Tabelle,$B20,41),0)</f>
        <v>0</v>
      </c>
      <c r="L20" s="237">
        <f>'Ration Milch'!V24</f>
        <v>0</v>
      </c>
      <c r="M20" s="237">
        <f>'Ration Milch'!W24</f>
        <v>0</v>
      </c>
      <c r="N20" s="234">
        <f>M20*E20</f>
        <v>0</v>
      </c>
      <c r="O20" s="238">
        <f>M20*F20</f>
        <v>0</v>
      </c>
      <c r="P20" s="238">
        <f>M20*G20</f>
        <v>0</v>
      </c>
      <c r="Q20" s="238">
        <f>+M20*H20</f>
        <v>0</v>
      </c>
      <c r="R20" s="238">
        <f>+M20*I20</f>
        <v>0</v>
      </c>
      <c r="S20" s="884">
        <f>+M20*J20</f>
        <v>0</v>
      </c>
      <c r="T20" s="239">
        <f>+M20*K20</f>
        <v>0</v>
      </c>
      <c r="U20" s="67" t="str">
        <f>IF(M20=0,"",IF(COUNTIF(C20:J20,0)&gt;0,"?",""))</f>
        <v/>
      </c>
    </row>
    <row r="21" spans="1:21" s="851" customFormat="1" ht="18.75" customHeight="1" thickBot="1" x14ac:dyDescent="0.4">
      <c r="A21" s="140"/>
      <c r="B21" s="138"/>
      <c r="C21" s="46"/>
      <c r="D21" s="166"/>
      <c r="E21" s="51"/>
      <c r="F21" s="51"/>
      <c r="G21" s="51"/>
      <c r="H21" s="51"/>
      <c r="I21" s="51"/>
      <c r="J21" s="51"/>
      <c r="K21" s="198" t="s">
        <v>15</v>
      </c>
      <c r="L21" s="240">
        <f>'Ration Milch'!V25</f>
        <v>0</v>
      </c>
      <c r="M21" s="240">
        <f>'Ration Milch'!W25</f>
        <v>0</v>
      </c>
      <c r="N21" s="241">
        <f t="shared" ref="N21:T21" si="5">SUM(N16:N20)</f>
        <v>0</v>
      </c>
      <c r="O21" s="242">
        <f t="shared" si="5"/>
        <v>0</v>
      </c>
      <c r="P21" s="242">
        <f t="shared" si="5"/>
        <v>0</v>
      </c>
      <c r="Q21" s="242">
        <f t="shared" si="5"/>
        <v>0</v>
      </c>
      <c r="R21" s="242">
        <f t="shared" si="5"/>
        <v>0</v>
      </c>
      <c r="S21" s="885">
        <f t="shared" si="5"/>
        <v>0</v>
      </c>
      <c r="T21" s="243">
        <f t="shared" si="5"/>
        <v>0</v>
      </c>
      <c r="U21" s="244"/>
    </row>
    <row r="22" spans="1:21" s="851" customFormat="1" ht="18.75" customHeight="1" thickBot="1" x14ac:dyDescent="0.4">
      <c r="A22" s="140"/>
      <c r="B22" s="138"/>
      <c r="C22" s="46"/>
      <c r="D22" s="166"/>
      <c r="E22" s="51"/>
      <c r="F22" s="51"/>
      <c r="G22" s="51"/>
      <c r="H22" s="51"/>
      <c r="I22" s="51"/>
      <c r="J22" s="51"/>
      <c r="K22" s="51"/>
      <c r="L22" s="51"/>
      <c r="M22" s="175" t="s">
        <v>54</v>
      </c>
      <c r="N22" s="245" t="str">
        <f t="shared" ref="N22:S22" si="6">IF($M$21&gt;0,N21/$M$21,"")</f>
        <v/>
      </c>
      <c r="O22" s="246" t="str">
        <f t="shared" si="6"/>
        <v/>
      </c>
      <c r="P22" s="246" t="str">
        <f t="shared" si="6"/>
        <v/>
      </c>
      <c r="Q22" s="246" t="str">
        <f t="shared" si="6"/>
        <v/>
      </c>
      <c r="R22" s="246" t="str">
        <f t="shared" si="6"/>
        <v/>
      </c>
      <c r="S22" s="886" t="str">
        <f t="shared" si="6"/>
        <v/>
      </c>
      <c r="T22" s="247" t="str">
        <f>IF($M$21&gt;0,T21/$M$21,"")</f>
        <v/>
      </c>
      <c r="U22" s="244"/>
    </row>
    <row r="23" spans="1:21" s="851" customFormat="1" ht="18.75" customHeight="1" thickBot="1" x14ac:dyDescent="0.4">
      <c r="A23" s="140"/>
      <c r="B23" s="157"/>
      <c r="C23" s="248" t="s">
        <v>56</v>
      </c>
      <c r="D23" s="166"/>
      <c r="E23" s="51"/>
      <c r="F23" s="51"/>
      <c r="G23" s="51"/>
      <c r="H23" s="249"/>
      <c r="I23" s="249"/>
      <c r="J23" s="249"/>
      <c r="K23" s="46"/>
      <c r="L23" s="250"/>
      <c r="M23" s="250"/>
      <c r="N23" s="241">
        <f>IF(N9=0,0,MAX(0,(N21-N8)/N9))</f>
        <v>0</v>
      </c>
      <c r="O23" s="242">
        <f t="shared" ref="O23:P23" si="7">IF(O9=0,0,MAX(0,(O21-O8)/O9))</f>
        <v>0</v>
      </c>
      <c r="P23" s="242">
        <f t="shared" si="7"/>
        <v>0</v>
      </c>
      <c r="Q23" s="243">
        <f>IF(Q9=0,0,MAX(0,(Q21-Q8)/Q9))</f>
        <v>0</v>
      </c>
      <c r="R23" s="46" t="s">
        <v>16</v>
      </c>
      <c r="S23" s="251"/>
      <c r="T23" s="251"/>
      <c r="U23" s="252"/>
    </row>
    <row r="24" spans="1:21" s="851" customFormat="1" ht="4.5" customHeight="1" thickBot="1" x14ac:dyDescent="0.4">
      <c r="A24" s="140"/>
      <c r="B24" s="157"/>
      <c r="C24" s="253"/>
      <c r="D24" s="166"/>
      <c r="E24" s="51"/>
      <c r="F24" s="51"/>
      <c r="G24" s="51"/>
      <c r="H24" s="249"/>
      <c r="I24" s="249"/>
      <c r="J24" s="249"/>
      <c r="K24" s="46"/>
      <c r="L24" s="250"/>
      <c r="M24" s="250"/>
      <c r="N24" s="51"/>
      <c r="O24" s="51"/>
      <c r="P24" s="46"/>
      <c r="Q24" s="254"/>
      <c r="R24" s="254"/>
      <c r="S24" s="254"/>
      <c r="T24" s="254"/>
      <c r="U24" s="139"/>
    </row>
    <row r="25" spans="1:21" s="851" customFormat="1" ht="18.75" customHeight="1" thickBot="1" x14ac:dyDescent="0.4">
      <c r="A25" s="140"/>
      <c r="B25" s="220">
        <f>+'Ration Milch'!C28</f>
        <v>31</v>
      </c>
      <c r="C25" s="255">
        <f>INDEX(Tabelle,$B25,2)</f>
        <v>0</v>
      </c>
      <c r="D25" s="222" t="str">
        <f>IF(INDEX(Tabelle,$B25,3)="","",INDEX(Tabelle,$B25,3)/10)</f>
        <v/>
      </c>
      <c r="E25" s="223">
        <f>ROUND(INDEX(Tabelle,$B25,35),1)</f>
        <v>0</v>
      </c>
      <c r="F25" s="224">
        <f>ROUND(INDEX(Tabelle,$B25,36),1)</f>
        <v>0</v>
      </c>
      <c r="G25" s="224">
        <f>ROUND(INDEX(Tabelle,$B25,37),1)</f>
        <v>0</v>
      </c>
      <c r="H25" s="224">
        <f>ROUND(INDEX(Tabelle,$B25,38),1)</f>
        <v>0</v>
      </c>
      <c r="I25" s="224">
        <f>ROUND(INDEX(Tabelle,$B25,39),1)</f>
        <v>0</v>
      </c>
      <c r="J25" s="878">
        <f>ROUND(INDEX(Tabelle,$B25,40),2)</f>
        <v>0</v>
      </c>
      <c r="K25" s="256">
        <f>ROUND(INDEX(Tabelle,$B25,41),0)</f>
        <v>0</v>
      </c>
      <c r="L25" s="257">
        <f>'Ration Milch'!V28</f>
        <v>0</v>
      </c>
      <c r="M25" s="226">
        <f>'Ration Milch'!W28</f>
        <v>0</v>
      </c>
      <c r="N25" s="223">
        <f>M25*E25</f>
        <v>0</v>
      </c>
      <c r="O25" s="224">
        <f>M25*F25</f>
        <v>0</v>
      </c>
      <c r="P25" s="224">
        <f>M25*G25</f>
        <v>0</v>
      </c>
      <c r="Q25" s="224">
        <f>+M25*H25</f>
        <v>0</v>
      </c>
      <c r="R25" s="224">
        <f>+M25*I25</f>
        <v>0</v>
      </c>
      <c r="S25" s="878">
        <f>+M25*J25</f>
        <v>0</v>
      </c>
      <c r="T25" s="256">
        <f>+M25*K25</f>
        <v>0</v>
      </c>
      <c r="U25" s="67" t="str">
        <f>IF(M25=0,"",IF(COUNTIF(C25:J25,0)&gt;0,"?",""))</f>
        <v/>
      </c>
    </row>
    <row r="26" spans="1:21" s="851" customFormat="1" ht="18.75" customHeight="1" thickBot="1" x14ac:dyDescent="0.4">
      <c r="A26" s="140"/>
      <c r="B26" s="220">
        <f>+'Ration Milch'!C29</f>
        <v>15</v>
      </c>
      <c r="C26" s="229">
        <f>INDEX(Tabelle,$B26,2)</f>
        <v>0</v>
      </c>
      <c r="D26" s="230" t="str">
        <f>IF(INDEX(Tabelle,$B26,3)="","",INDEX(Tabelle,$B26,3)/10)</f>
        <v/>
      </c>
      <c r="E26" s="223">
        <f>ROUND(INDEX(Tabelle,$B26,35),1)</f>
        <v>0</v>
      </c>
      <c r="F26" s="224">
        <f>ROUND(INDEX(Tabelle,$B26,36),1)</f>
        <v>0</v>
      </c>
      <c r="G26" s="224">
        <f>ROUND(INDEX(Tabelle,$B26,37),1)</f>
        <v>0</v>
      </c>
      <c r="H26" s="224">
        <f>ROUND(INDEX(Tabelle,$B26,38),1)</f>
        <v>0</v>
      </c>
      <c r="I26" s="224">
        <f>ROUND(INDEX(Tabelle,$B26,39),1)</f>
        <v>0</v>
      </c>
      <c r="J26" s="878">
        <f>ROUND(INDEX(Tabelle,$B26,40),2)</f>
        <v>0</v>
      </c>
      <c r="K26" s="256">
        <f>ROUND(INDEX(Tabelle,$B26,41),0)</f>
        <v>0</v>
      </c>
      <c r="L26" s="233">
        <f>'Ration Milch'!V29</f>
        <v>0</v>
      </c>
      <c r="M26" s="233">
        <f>'Ration Milch'!W29</f>
        <v>0</v>
      </c>
      <c r="N26" s="234">
        <f>M26*E26</f>
        <v>0</v>
      </c>
      <c r="O26" s="231">
        <f>M26*F26</f>
        <v>0</v>
      </c>
      <c r="P26" s="231">
        <f>M26*G26</f>
        <v>0</v>
      </c>
      <c r="Q26" s="231">
        <f>+M26*H26</f>
        <v>0</v>
      </c>
      <c r="R26" s="231">
        <f>+M26*I26</f>
        <v>0</v>
      </c>
      <c r="S26" s="879">
        <f>+M26*J26</f>
        <v>0</v>
      </c>
      <c r="T26" s="228">
        <f>+M26*K26</f>
        <v>0</v>
      </c>
      <c r="U26" s="67" t="str">
        <f>IF(M26=0,"",IF(COUNTIF(C26:J26,0)&gt;0,"?",""))</f>
        <v/>
      </c>
    </row>
    <row r="27" spans="1:21" s="851" customFormat="1" ht="18.75" customHeight="1" thickBot="1" x14ac:dyDescent="0.4">
      <c r="A27" s="140"/>
      <c r="B27" s="220">
        <f>+'Ration Milch'!C30</f>
        <v>31</v>
      </c>
      <c r="C27" s="258">
        <f>INDEX(Tabelle,$B27,2)</f>
        <v>0</v>
      </c>
      <c r="D27" s="230" t="str">
        <f>IF(INDEX(Tabelle,$B27,3)="","",INDEX(Tabelle,$B27,3)/10)</f>
        <v/>
      </c>
      <c r="E27" s="900">
        <f>ROUND(INDEX(Tabelle,$B27,35),1)</f>
        <v>0</v>
      </c>
      <c r="F27" s="901">
        <f>ROUND(INDEX(Tabelle,$B27,36),1)</f>
        <v>0</v>
      </c>
      <c r="G27" s="901">
        <f>ROUND(INDEX(Tabelle,$B27,37),1)</f>
        <v>0</v>
      </c>
      <c r="H27" s="901">
        <f>ROUND(INDEX(Tabelle,$B27,38),1)</f>
        <v>0</v>
      </c>
      <c r="I27" s="901">
        <f>ROUND(INDEX(Tabelle,$B27,39),1)</f>
        <v>0</v>
      </c>
      <c r="J27" s="902">
        <f>ROUND(INDEX(Tabelle,$B27,40),2)</f>
        <v>0</v>
      </c>
      <c r="K27" s="907">
        <f>ROUND(INDEX(Tabelle,$B27,41),0)</f>
        <v>0</v>
      </c>
      <c r="L27" s="260">
        <f>'Ration Milch'!V30</f>
        <v>0</v>
      </c>
      <c r="M27" s="233">
        <f>'Ration Milch'!W30</f>
        <v>0</v>
      </c>
      <c r="N27" s="259">
        <f>M27*E27</f>
        <v>0</v>
      </c>
      <c r="O27" s="232">
        <f>M27*F27</f>
        <v>0</v>
      </c>
      <c r="P27" s="232">
        <f>M27*G27</f>
        <v>0</v>
      </c>
      <c r="Q27" s="232">
        <f>+M27*H27</f>
        <v>0</v>
      </c>
      <c r="R27" s="232">
        <f>+M27*I27</f>
        <v>0</v>
      </c>
      <c r="S27" s="879">
        <f>+M27*J27</f>
        <v>0</v>
      </c>
      <c r="T27" s="228">
        <f>+M27*K27</f>
        <v>0</v>
      </c>
      <c r="U27" s="67" t="str">
        <f>IF(M27=0,"",IF(COUNTIF(C27:J27,0)&gt;0,"?",""))</f>
        <v/>
      </c>
    </row>
    <row r="28" spans="1:21" s="851" customFormat="1" ht="18.75" customHeight="1" thickBot="1" x14ac:dyDescent="0.4">
      <c r="A28" s="140"/>
      <c r="B28" s="220">
        <f>+'Ration Milch'!C31</f>
        <v>21</v>
      </c>
      <c r="C28" s="258">
        <f>INDEX(Tabelle,$B28,2)</f>
        <v>0</v>
      </c>
      <c r="D28" s="230" t="str">
        <f>IF(INDEX(Tabelle,$B28,3)="","",INDEX(Tabelle,$B28,3)/10)</f>
        <v/>
      </c>
      <c r="E28" s="900">
        <f>ROUND(INDEX(Tabelle,$B28,35),1)</f>
        <v>0</v>
      </c>
      <c r="F28" s="901">
        <f>ROUND(INDEX(Tabelle,$B28,36),1)</f>
        <v>0</v>
      </c>
      <c r="G28" s="901">
        <f>ROUND(INDEX(Tabelle,$B28,37),1)</f>
        <v>0</v>
      </c>
      <c r="H28" s="901">
        <f>ROUND(INDEX(Tabelle,$B28,38),1)</f>
        <v>0</v>
      </c>
      <c r="I28" s="901">
        <f>ROUND(INDEX(Tabelle,$B28,39),1)</f>
        <v>0</v>
      </c>
      <c r="J28" s="902">
        <f>ROUND(INDEX(Tabelle,$B28,40),2)</f>
        <v>0</v>
      </c>
      <c r="K28" s="907">
        <f>ROUND(INDEX(Tabelle,$B28,41),0)</f>
        <v>0</v>
      </c>
      <c r="L28" s="260">
        <f>'Ration Milch'!V31</f>
        <v>0</v>
      </c>
      <c r="M28" s="233">
        <f>'Ration Milch'!W31</f>
        <v>0</v>
      </c>
      <c r="N28" s="259">
        <f>M28*E28</f>
        <v>0</v>
      </c>
      <c r="O28" s="232">
        <f>M28*F28</f>
        <v>0</v>
      </c>
      <c r="P28" s="232">
        <f>M28*G28</f>
        <v>0</v>
      </c>
      <c r="Q28" s="232">
        <f>+M28*H28</f>
        <v>0</v>
      </c>
      <c r="R28" s="232">
        <f>+M28*I28</f>
        <v>0</v>
      </c>
      <c r="S28" s="879">
        <f>+M28*J28</f>
        <v>0</v>
      </c>
      <c r="T28" s="228">
        <f>+M28*K28</f>
        <v>0</v>
      </c>
      <c r="U28" s="67" t="str">
        <f>IF(M28=0,"",IF(COUNTIF(C28:J28,0)&gt;0,"?",""))</f>
        <v/>
      </c>
    </row>
    <row r="29" spans="1:21" s="851" customFormat="1" ht="18.75" customHeight="1" thickBot="1" x14ac:dyDescent="0.4">
      <c r="A29" s="140"/>
      <c r="B29" s="220">
        <f>+'Ration Milch'!C32</f>
        <v>3</v>
      </c>
      <c r="C29" s="261" t="str">
        <f>'Ration Milch'!D32</f>
        <v>Wasser (FM!)</v>
      </c>
      <c r="D29" s="236">
        <f>'Ration Milch'!H32</f>
        <v>0</v>
      </c>
      <c r="E29" s="900">
        <f>ROUND(INDEX(Tabelle,$B29,35),1)</f>
        <v>0</v>
      </c>
      <c r="F29" s="901">
        <f>ROUND(INDEX(Tabelle,$B29,36),1)</f>
        <v>0</v>
      </c>
      <c r="G29" s="901">
        <f>ROUND(INDEX(Tabelle,$B29,37),1)</f>
        <v>0</v>
      </c>
      <c r="H29" s="901">
        <f>ROUND(INDEX(Tabelle,$B29,38),1)</f>
        <v>0</v>
      </c>
      <c r="I29" s="901">
        <f>ROUND(INDEX(Tabelle,$B29,39),1)</f>
        <v>0</v>
      </c>
      <c r="J29" s="902">
        <f>ROUND(INDEX(Tabelle,$B29,40),2)</f>
        <v>0</v>
      </c>
      <c r="K29" s="907">
        <f>ROUND(INDEX(Tabelle,$B29,41),0)</f>
        <v>0</v>
      </c>
      <c r="L29" s="263">
        <f>'Ration Milch'!V32</f>
        <v>0</v>
      </c>
      <c r="M29" s="237">
        <f>'Ration Milch'!W32</f>
        <v>0</v>
      </c>
      <c r="N29" s="262">
        <f>M29*E29</f>
        <v>0</v>
      </c>
      <c r="O29" s="238">
        <f>M29*F29</f>
        <v>0</v>
      </c>
      <c r="P29" s="238">
        <f>M29*G29</f>
        <v>0</v>
      </c>
      <c r="Q29" s="238">
        <f>+M29*H29</f>
        <v>0</v>
      </c>
      <c r="R29" s="238">
        <f>+M29*I29</f>
        <v>0</v>
      </c>
      <c r="S29" s="884">
        <f>+M29*J29</f>
        <v>0</v>
      </c>
      <c r="T29" s="239">
        <f>+M29*K29</f>
        <v>0</v>
      </c>
      <c r="U29" s="67" t="str">
        <f>IF(M29=0,"",IF(COUNTIF(C29:J29,0)&gt;0,"?",""))</f>
        <v/>
      </c>
    </row>
    <row r="30" spans="1:21" s="851" customFormat="1" ht="18.75" customHeight="1" thickBot="1" x14ac:dyDescent="0.4">
      <c r="A30" s="140"/>
      <c r="B30" s="138"/>
      <c r="C30" s="46"/>
      <c r="D30" s="51"/>
      <c r="E30" s="51"/>
      <c r="F30" s="51"/>
      <c r="G30" s="51"/>
      <c r="H30" s="51"/>
      <c r="I30" s="51"/>
      <c r="J30" s="51"/>
      <c r="K30" s="264" t="s">
        <v>15</v>
      </c>
      <c r="L30" s="265">
        <f>'Ration Milch'!V33</f>
        <v>0</v>
      </c>
      <c r="M30" s="240">
        <f>'Ration Milch'!W33</f>
        <v>0</v>
      </c>
      <c r="N30" s="241">
        <f t="shared" ref="N30:S30" si="8">SUM(N25:N29)+N21</f>
        <v>0</v>
      </c>
      <c r="O30" s="266">
        <f t="shared" si="8"/>
        <v>0</v>
      </c>
      <c r="P30" s="266">
        <f t="shared" si="8"/>
        <v>0</v>
      </c>
      <c r="Q30" s="266">
        <f t="shared" si="8"/>
        <v>0</v>
      </c>
      <c r="R30" s="266">
        <f t="shared" si="8"/>
        <v>0</v>
      </c>
      <c r="S30" s="887">
        <f t="shared" si="8"/>
        <v>0</v>
      </c>
      <c r="T30" s="267">
        <f>SUM(T25:T29)+T21</f>
        <v>0</v>
      </c>
      <c r="U30" s="244"/>
    </row>
    <row r="31" spans="1:21" s="851" customFormat="1" ht="18.75" customHeight="1" thickBot="1" x14ac:dyDescent="0.4">
      <c r="A31" s="140"/>
      <c r="B31" s="138"/>
      <c r="C31" s="46"/>
      <c r="D31" s="51"/>
      <c r="E31" s="51"/>
      <c r="F31" s="51"/>
      <c r="G31" s="51"/>
      <c r="H31" s="51"/>
      <c r="I31" s="51"/>
      <c r="J31" s="51"/>
      <c r="K31" s="51"/>
      <c r="L31" s="51"/>
      <c r="M31" s="175" t="s">
        <v>54</v>
      </c>
      <c r="N31" s="245" t="str">
        <f t="shared" ref="N31:S31" si="9">IF($M$30&gt;0,N30/$M$30,"")</f>
        <v/>
      </c>
      <c r="O31" s="246" t="str">
        <f t="shared" si="9"/>
        <v/>
      </c>
      <c r="P31" s="246" t="str">
        <f t="shared" si="9"/>
        <v/>
      </c>
      <c r="Q31" s="246" t="str">
        <f t="shared" si="9"/>
        <v/>
      </c>
      <c r="R31" s="246" t="str">
        <f t="shared" si="9"/>
        <v/>
      </c>
      <c r="S31" s="886" t="str">
        <f t="shared" si="9"/>
        <v/>
      </c>
      <c r="T31" s="268" t="str">
        <f>IF($M$30&gt;0,T30/$M$30,"")</f>
        <v/>
      </c>
      <c r="U31" s="244"/>
    </row>
    <row r="32" spans="1:21" s="851" customFormat="1" ht="18.75" customHeight="1" thickBot="1" x14ac:dyDescent="0.4">
      <c r="A32" s="140"/>
      <c r="B32" s="157"/>
      <c r="C32" s="248" t="s">
        <v>17</v>
      </c>
      <c r="D32" s="186"/>
      <c r="E32" s="186"/>
      <c r="F32" s="51"/>
      <c r="G32" s="51"/>
      <c r="H32" s="249"/>
      <c r="I32" s="249"/>
      <c r="J32" s="249"/>
      <c r="K32" s="46"/>
      <c r="L32" s="250"/>
      <c r="M32" s="250"/>
      <c r="N32" s="241">
        <f t="shared" ref="N32:P32" si="10">IF(N$9=0,0,MAX(0,(N30-N$8)/N$9))</f>
        <v>0</v>
      </c>
      <c r="O32" s="242">
        <f>IF(O$9=0,0,MAX(0,(O30-O$8)/O$9))</f>
        <v>0</v>
      </c>
      <c r="P32" s="242">
        <f t="shared" si="10"/>
        <v>0</v>
      </c>
      <c r="Q32" s="243">
        <f>IF(Q$9=0,0,MAX(0,(Q30-Q$8)/Q$9))</f>
        <v>0</v>
      </c>
      <c r="R32" s="46" t="s">
        <v>16</v>
      </c>
      <c r="S32" s="251"/>
      <c r="T32" s="251"/>
      <c r="U32" s="252"/>
    </row>
    <row r="33" spans="1:21" s="851" customFormat="1" ht="4.5" customHeight="1" thickBot="1" x14ac:dyDescent="0.4">
      <c r="A33" s="140"/>
      <c r="B33" s="157"/>
      <c r="C33" s="269"/>
      <c r="D33" s="51"/>
      <c r="E33" s="51"/>
      <c r="F33" s="51"/>
      <c r="G33" s="51"/>
      <c r="H33" s="249"/>
      <c r="I33" s="249"/>
      <c r="J33" s="249"/>
      <c r="K33" s="46"/>
      <c r="L33" s="250"/>
      <c r="M33" s="250"/>
      <c r="N33" s="51"/>
      <c r="O33" s="51"/>
      <c r="P33" s="46"/>
      <c r="Q33" s="254"/>
      <c r="R33" s="254"/>
      <c r="S33" s="254"/>
      <c r="T33" s="254"/>
      <c r="U33" s="139"/>
    </row>
    <row r="34" spans="1:21" s="851" customFormat="1" ht="18.75" customHeight="1" thickBot="1" x14ac:dyDescent="0.4">
      <c r="A34" s="140"/>
      <c r="B34" s="220">
        <f>+'Ration Milch'!C37</f>
        <v>31</v>
      </c>
      <c r="C34" s="221">
        <f>INDEX(Tabelle,$B34,2)</f>
        <v>0</v>
      </c>
      <c r="D34" s="222" t="str">
        <f>IF(INDEX(Tabelle,$B34,3)="","",INDEX(Tabelle,$B34,3)/10)</f>
        <v/>
      </c>
      <c r="E34" s="223">
        <f>ROUND(INDEX(Tabelle,$B34,35),1)</f>
        <v>0</v>
      </c>
      <c r="F34" s="224">
        <f>ROUND(INDEX(Tabelle,$B34,36),1)</f>
        <v>0</v>
      </c>
      <c r="G34" s="224">
        <f>ROUND(INDEX(Tabelle,$B34,37),1)</f>
        <v>0</v>
      </c>
      <c r="H34" s="224">
        <f>ROUND(INDEX(Tabelle,$B34,38),1)</f>
        <v>0</v>
      </c>
      <c r="I34" s="224">
        <f>ROUND(INDEX(Tabelle,$B34,39),1)</f>
        <v>0</v>
      </c>
      <c r="J34" s="224">
        <f>ROUND(INDEX(Tabelle,$B34,40),1)</f>
        <v>0</v>
      </c>
      <c r="K34" s="256">
        <f>ROUND(INDEX(Tabelle,$B34,41),0)</f>
        <v>0</v>
      </c>
      <c r="L34" s="270">
        <f>'Ration Milch'!V37</f>
        <v>0</v>
      </c>
      <c r="M34" s="226">
        <f>'Ration Milch'!W37</f>
        <v>0</v>
      </c>
      <c r="N34" s="223">
        <f>M34*E34</f>
        <v>0</v>
      </c>
      <c r="O34" s="224">
        <f>M34*F34</f>
        <v>0</v>
      </c>
      <c r="P34" s="224">
        <f>M34*G34</f>
        <v>0</v>
      </c>
      <c r="Q34" s="224">
        <f>+M34*H34</f>
        <v>0</v>
      </c>
      <c r="R34" s="225">
        <f>+M34*I34</f>
        <v>0</v>
      </c>
      <c r="S34" s="224">
        <f>+M34*J34</f>
        <v>0</v>
      </c>
      <c r="T34" s="256">
        <f>+M34*K34</f>
        <v>0</v>
      </c>
      <c r="U34" s="67" t="str">
        <f>IF(M34=0,"",IF(COUNTIF(C34:J34,0)&gt;0,"?",""))</f>
        <v/>
      </c>
    </row>
    <row r="35" spans="1:21" s="851" customFormat="1" ht="18.75" customHeight="1" thickBot="1" x14ac:dyDescent="0.4">
      <c r="A35" s="140"/>
      <c r="B35" s="220">
        <f>+'Ration Milch'!C38</f>
        <v>15</v>
      </c>
      <c r="C35" s="235">
        <f>INDEX(Tabelle,$B35,2)</f>
        <v>0</v>
      </c>
      <c r="D35" s="236" t="str">
        <f>IF(INDEX(Tabelle,$B35,3)="","",INDEX(Tabelle,$B35,3)/10)</f>
        <v/>
      </c>
      <c r="E35" s="900">
        <f>ROUND(INDEX(Tabelle,$B35,35),1)</f>
        <v>0</v>
      </c>
      <c r="F35" s="901">
        <f>ROUND(INDEX(Tabelle,$B35,36),1)</f>
        <v>0</v>
      </c>
      <c r="G35" s="901">
        <f>ROUND(INDEX(Tabelle,$B35,37),1)</f>
        <v>0</v>
      </c>
      <c r="H35" s="901">
        <f>ROUND(INDEX(Tabelle,$B35,38),1)</f>
        <v>0</v>
      </c>
      <c r="I35" s="901">
        <f>ROUND(INDEX(Tabelle,$B35,39),1)</f>
        <v>0</v>
      </c>
      <c r="J35" s="901">
        <f>ROUND(INDEX(Tabelle,$B35,40),1)</f>
        <v>0</v>
      </c>
      <c r="K35" s="907">
        <f>ROUND(INDEX(Tabelle,$B35,41),0)</f>
        <v>0</v>
      </c>
      <c r="L35" s="271">
        <f>'Ration Milch'!V38</f>
        <v>0</v>
      </c>
      <c r="M35" s="272">
        <f>'Ration Milch'!W38</f>
        <v>0</v>
      </c>
      <c r="N35" s="273">
        <f>M35*E35</f>
        <v>0</v>
      </c>
      <c r="O35" s="274">
        <f>M35*F35</f>
        <v>0</v>
      </c>
      <c r="P35" s="274">
        <f>M35*G35</f>
        <v>0</v>
      </c>
      <c r="Q35" s="274">
        <f>+M35*H35</f>
        <v>0</v>
      </c>
      <c r="R35" s="275">
        <f>+M35*I35</f>
        <v>0</v>
      </c>
      <c r="S35" s="274">
        <f>+M35*J35</f>
        <v>0</v>
      </c>
      <c r="T35" s="228">
        <f>+M35*K35</f>
        <v>0</v>
      </c>
      <c r="U35" s="67" t="str">
        <f>IF(M35=0,"",IF(COUNTIF(C35:J35,0)&gt;0,"?",""))</f>
        <v/>
      </c>
    </row>
    <row r="36" spans="1:21" s="850" customFormat="1" ht="24.5" thickBot="1" x14ac:dyDescent="0.4">
      <c r="A36" s="140"/>
      <c r="B36" s="276"/>
      <c r="C36" s="186"/>
      <c r="D36" s="277"/>
      <c r="E36" s="146"/>
      <c r="F36" s="278"/>
      <c r="G36" s="278"/>
      <c r="H36" s="278"/>
      <c r="I36" s="278"/>
      <c r="J36" s="278"/>
      <c r="K36" s="278"/>
      <c r="L36" s="279" t="str">
        <f>'Ration Milch'!V39</f>
        <v>FM kg</v>
      </c>
      <c r="M36" s="280" t="str">
        <f>'Ration Milch'!W39</f>
        <v>TM kg</v>
      </c>
      <c r="N36" s="279" t="str">
        <f>N14&amp;"                   "&amp;N15</f>
        <v xml:space="preserve">Ca                   g </v>
      </c>
      <c r="O36" s="281" t="str">
        <f>O14&amp;"                   "&amp;O15</f>
        <v>P                   g</v>
      </c>
      <c r="P36" s="281" t="str">
        <f>P14&amp;"                   "&amp;P15</f>
        <v>Mg                   g</v>
      </c>
      <c r="Q36" s="281" t="str">
        <f>Q14&amp;"                   "&amp;Q15</f>
        <v>Na                   g</v>
      </c>
      <c r="R36" s="281" t="str">
        <f>R14&amp;"                   "&amp;R15</f>
        <v>K                   g</v>
      </c>
      <c r="S36" s="281" t="str">
        <f>S14&amp;"                "&amp;S15</f>
        <v>Se                mg</v>
      </c>
      <c r="T36" s="282" t="str">
        <f>T14&amp;"         "&amp;T15</f>
        <v>DCAB         meq</v>
      </c>
      <c r="U36" s="139"/>
    </row>
    <row r="37" spans="1:21" s="851" customFormat="1" ht="18.75" customHeight="1" thickBot="1" x14ac:dyDescent="0.4">
      <c r="A37" s="140"/>
      <c r="B37" s="138"/>
      <c r="C37" s="46"/>
      <c r="D37" s="46"/>
      <c r="E37" s="46"/>
      <c r="F37" s="46"/>
      <c r="G37" s="46"/>
      <c r="H37" s="278"/>
      <c r="I37" s="278"/>
      <c r="J37" s="278"/>
      <c r="K37" s="264" t="s">
        <v>15</v>
      </c>
      <c r="L37" s="283">
        <f>'Ration Milch'!V40</f>
        <v>0</v>
      </c>
      <c r="M37" s="284">
        <f>'Ration Milch'!W40</f>
        <v>0</v>
      </c>
      <c r="N37" s="285">
        <f t="shared" ref="N37:T37" si="11">N30+N34+N35</f>
        <v>0</v>
      </c>
      <c r="O37" s="286">
        <f t="shared" si="11"/>
        <v>0</v>
      </c>
      <c r="P37" s="286">
        <f t="shared" si="11"/>
        <v>0</v>
      </c>
      <c r="Q37" s="286">
        <f t="shared" si="11"/>
        <v>0</v>
      </c>
      <c r="R37" s="286">
        <f t="shared" si="11"/>
        <v>0</v>
      </c>
      <c r="S37" s="888">
        <f t="shared" si="11"/>
        <v>0</v>
      </c>
      <c r="T37" s="287">
        <f t="shared" si="11"/>
        <v>0</v>
      </c>
      <c r="U37" s="244"/>
    </row>
    <row r="38" spans="1:21" s="851" customFormat="1" ht="18.75" customHeight="1" thickBot="1" x14ac:dyDescent="0.4">
      <c r="A38" s="137"/>
      <c r="B38" s="138"/>
      <c r="C38" s="46"/>
      <c r="D38" s="46"/>
      <c r="E38" s="46"/>
      <c r="F38" s="46"/>
      <c r="G38" s="46"/>
      <c r="H38" s="46"/>
      <c r="I38" s="46"/>
      <c r="J38" s="46"/>
      <c r="K38" s="45"/>
      <c r="L38" s="46"/>
      <c r="M38" s="175" t="s">
        <v>54</v>
      </c>
      <c r="N38" s="245" t="str">
        <f>IF($M$37&gt;0,N37/$M$37,"")</f>
        <v/>
      </c>
      <c r="O38" s="246" t="str">
        <f t="shared" ref="O38:S38" si="12">IF($M$37&gt;0,O37/$M$37,"")</f>
        <v/>
      </c>
      <c r="P38" s="246" t="str">
        <f t="shared" si="12"/>
        <v/>
      </c>
      <c r="Q38" s="246" t="str">
        <f t="shared" si="12"/>
        <v/>
      </c>
      <c r="R38" s="246" t="str">
        <f t="shared" si="12"/>
        <v/>
      </c>
      <c r="S38" s="886" t="str">
        <f t="shared" si="12"/>
        <v/>
      </c>
      <c r="T38" s="268" t="str">
        <f>IF($M$37&gt;0,T37/$M$37,"")</f>
        <v/>
      </c>
      <c r="U38" s="244"/>
    </row>
    <row r="39" spans="1:21" s="851" customFormat="1" ht="18.75" customHeight="1" thickBot="1" x14ac:dyDescent="0.4">
      <c r="A39" s="137"/>
      <c r="B39" s="138"/>
      <c r="C39" s="46"/>
      <c r="D39" s="46"/>
      <c r="E39" s="46"/>
      <c r="F39" s="46"/>
      <c r="G39" s="46"/>
      <c r="H39" s="46"/>
      <c r="I39" s="46"/>
      <c r="J39" s="45"/>
      <c r="K39" s="46"/>
      <c r="L39" s="46"/>
      <c r="M39" s="175" t="s">
        <v>43</v>
      </c>
      <c r="N39" s="241">
        <f>IF(N$9=0,0,MAX(0,(N37-N$8)/N$9))</f>
        <v>0</v>
      </c>
      <c r="O39" s="242">
        <f t="shared" ref="O39:R39" si="13">IF(O$9=0,0,MAX(0,(O37-O$8)/O$9))</f>
        <v>0</v>
      </c>
      <c r="P39" s="242">
        <f t="shared" si="13"/>
        <v>0</v>
      </c>
      <c r="Q39" s="243">
        <f t="shared" si="13"/>
        <v>0</v>
      </c>
      <c r="R39" s="241">
        <f t="shared" si="13"/>
        <v>0</v>
      </c>
      <c r="S39" s="242">
        <f>IF(S$9=0,0,MAX(0,(S37-S$8)/S$9))</f>
        <v>0</v>
      </c>
      <c r="T39" s="242">
        <f>IF(T$9=0,0,MAX(0,(T37-T$8)/T$9))</f>
        <v>0</v>
      </c>
      <c r="U39" s="252"/>
    </row>
    <row r="40" spans="1:21" s="851" customFormat="1" ht="18.75" customHeight="1" thickBot="1" x14ac:dyDescent="0.4">
      <c r="A40" s="137"/>
      <c r="B40" s="138"/>
      <c r="C40" s="46"/>
      <c r="D40" s="46"/>
      <c r="E40" s="46"/>
      <c r="F40" s="46"/>
      <c r="G40" s="46"/>
      <c r="H40" s="46"/>
      <c r="I40" s="46"/>
      <c r="J40" s="46"/>
      <c r="K40" s="288"/>
      <c r="L40" s="288"/>
      <c r="M40" s="251" t="s">
        <v>27</v>
      </c>
      <c r="N40" s="289" t="str">
        <f>IF(N11=0,"",+N37/N11)</f>
        <v/>
      </c>
      <c r="O40" s="290" t="str">
        <f t="shared" ref="O40:R40" si="14">IF(O11=0,"",+O37/O11)</f>
        <v/>
      </c>
      <c r="P40" s="290" t="str">
        <f t="shared" si="14"/>
        <v/>
      </c>
      <c r="Q40" s="291" t="str">
        <f t="shared" si="14"/>
        <v/>
      </c>
      <c r="R40" s="291" t="str">
        <f t="shared" si="14"/>
        <v/>
      </c>
      <c r="S40" s="290" t="str">
        <f>IF(S11=0,"",+S37/S11)</f>
        <v/>
      </c>
      <c r="T40" s="292" t="s">
        <v>105</v>
      </c>
      <c r="U40" s="293"/>
    </row>
    <row r="41" spans="1:21" s="851" customFormat="1" ht="18.75" customHeight="1" x14ac:dyDescent="0.35">
      <c r="A41" s="137"/>
      <c r="B41" s="138"/>
      <c r="C41" s="46"/>
      <c r="D41" s="46"/>
      <c r="E41" s="46"/>
      <c r="F41" s="46"/>
      <c r="G41" s="46"/>
      <c r="H41" s="46"/>
      <c r="I41" s="46"/>
      <c r="J41" s="46"/>
      <c r="K41" s="288"/>
      <c r="L41" s="288"/>
      <c r="M41" s="251"/>
      <c r="N41" s="251"/>
      <c r="O41" s="251"/>
      <c r="P41" s="251"/>
      <c r="Q41" s="251"/>
      <c r="R41" s="251"/>
      <c r="S41" s="251"/>
      <c r="T41" s="251"/>
      <c r="U41" s="293"/>
    </row>
    <row r="42" spans="1:21" s="857" customFormat="1" ht="14.25" customHeight="1" thickBot="1" x14ac:dyDescent="0.3">
      <c r="A42" s="852" t="e">
        <f>#REF!</f>
        <v>#REF!</v>
      </c>
      <c r="B42" s="853"/>
      <c r="C42" s="853"/>
      <c r="D42" s="853"/>
      <c r="E42" s="853"/>
      <c r="F42" s="853"/>
      <c r="G42" s="853"/>
      <c r="H42" s="853"/>
      <c r="I42" s="853"/>
      <c r="J42" s="853"/>
      <c r="K42" s="853"/>
      <c r="L42" s="853"/>
      <c r="M42" s="853"/>
      <c r="N42" s="853"/>
      <c r="O42" s="853"/>
      <c r="P42" s="854"/>
      <c r="Q42" s="855"/>
      <c r="R42" s="855"/>
      <c r="S42" s="853"/>
      <c r="T42" s="853"/>
      <c r="U42" s="856"/>
    </row>
    <row r="43" spans="1:21" ht="13" hidden="1" thickTop="1" x14ac:dyDescent="0.25"/>
    <row r="46" spans="1:21" hidden="1" x14ac:dyDescent="0.25">
      <c r="E46" s="858"/>
    </row>
    <row r="47" spans="1:21" hidden="1" x14ac:dyDescent="0.25">
      <c r="E47" s="858"/>
    </row>
    <row r="48" spans="1:21" hidden="1" x14ac:dyDescent="0.25">
      <c r="E48" s="858"/>
    </row>
    <row r="49" spans="5:5" hidden="1" x14ac:dyDescent="0.25">
      <c r="E49" s="858"/>
    </row>
    <row r="50" spans="5:5" hidden="1" x14ac:dyDescent="0.25">
      <c r="E50" s="858"/>
    </row>
    <row r="51" spans="5:5" hidden="1" x14ac:dyDescent="0.25">
      <c r="E51" s="858"/>
    </row>
  </sheetData>
  <sheetProtection algorithmName="SHA-512" hashValue="udUhka1Cs5/Z2ZBH9tyruvQKaCT4kCf4lpogU+urp5yvCHuThQrYtej+7SaD68b4qNd4qOOecoCXMd4kI7oQzQ==" saltValue="NME56zvJHtxSwLf4R6v02A==" spinCount="100000" sheet="1" objects="1" scenarios="1"/>
  <customSheetViews>
    <customSheetView guid="{2DEE39A3-88C5-4D7F-AEB9-0B43FD431165}" showGridLines="0" zeroValues="0" fitToPage="1" hiddenRows="1" hiddenColumns="1">
      <selection activeCell="Q10" sqref="Q10"/>
      <pageMargins left="0.39370078740157483" right="0.31496062992125984" top="0.70866141732283472" bottom="0.31496062992125984" header="0.51181102362204722" footer="0.11811023622047245"/>
      <printOptions horizontalCentered="1"/>
      <pageSetup paperSize="9" scale="76" orientation="landscape" r:id="rId1"/>
      <headerFooter>
        <oddFooter>&amp;L&amp;F&amp;A&amp;R&amp;D&amp;T</oddFooter>
      </headerFooter>
    </customSheetView>
    <customSheetView guid="{117F828A-4542-4D18-9CDB-B606529AAD66}" showGridLines="0" showRowCol="0" zeroValues="0" fitToPage="1" hiddenRows="1" hiddenColumns="1">
      <selection activeCell="D6" sqref="D6"/>
      <pageMargins left="0.39370078740157483" right="0.31496062992125984" top="0.70866141732283472" bottom="0.31496062992125984" header="0.51181102362204722" footer="0.11811023622047245"/>
      <printOptions horizontalCentered="1"/>
      <pageSetup paperSize="9" scale="76" orientation="landscape" r:id="rId2"/>
      <headerFooter>
        <oddFooter>&amp;L&amp;F&amp;A&amp;R&amp;D&amp;T</oddFooter>
      </headerFooter>
    </customSheetView>
  </customSheetViews>
  <phoneticPr fontId="7" type="noConversion"/>
  <conditionalFormatting sqref="U16:U20">
    <cfRule type="containsText" dxfId="2" priority="3" operator="containsText" text="?">
      <formula>NOT(ISERROR(SEARCH("?",U16)))</formula>
    </cfRule>
  </conditionalFormatting>
  <conditionalFormatting sqref="U25:U29">
    <cfRule type="containsText" dxfId="1" priority="2" operator="containsText" text="?">
      <formula>NOT(ISERROR(SEARCH("?",U25)))</formula>
    </cfRule>
  </conditionalFormatting>
  <conditionalFormatting sqref="U34:U35">
    <cfRule type="containsText" dxfId="0" priority="1" operator="containsText" text="?">
      <formula>NOT(ISERROR(SEARCH("?",U34)))</formula>
    </cfRule>
  </conditionalFormatting>
  <printOptions horizontalCentered="1"/>
  <pageMargins left="0.39370078740157483" right="0.31496062992125984" top="0.70866141732283472" bottom="0.31496062992125984" header="0.51181102362204722" footer="0.11811023622047245"/>
  <pageSetup paperSize="9" scale="64" orientation="landscape" r:id="rId3"/>
  <headerFooter>
    <oddFooter>&amp;L&amp;F&amp;A&amp;R&amp;D&amp;T</oddFooter>
  </headerFooter>
  <drawing r:id="rId4"/>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1">
    <tabColor rgb="FFD9D9D9"/>
  </sheetPr>
  <dimension ref="A1:F28"/>
  <sheetViews>
    <sheetView workbookViewId="0">
      <selection activeCell="G33" sqref="G33"/>
    </sheetView>
  </sheetViews>
  <sheetFormatPr baseColWidth="10" defaultColWidth="11.453125" defaultRowHeight="12.5" x14ac:dyDescent="0.25"/>
  <cols>
    <col min="1" max="1" width="13.81640625" style="12" bestFit="1" customWidth="1"/>
    <col min="2" max="2" width="36.453125" style="12" bestFit="1" customWidth="1"/>
    <col min="3" max="3" width="13" style="12" bestFit="1" customWidth="1"/>
    <col min="4" max="4" width="7.81640625" style="12" customWidth="1"/>
    <col min="5" max="6" width="7.81640625" style="13" customWidth="1"/>
    <col min="7" max="16384" width="11.453125" style="12"/>
  </cols>
  <sheetData>
    <row r="1" spans="1:6" ht="15.5" x14ac:dyDescent="0.35">
      <c r="A1" s="15" t="s">
        <v>86</v>
      </c>
      <c r="C1" s="939" t="s">
        <v>115</v>
      </c>
      <c r="D1" s="940"/>
      <c r="E1" s="22" t="s">
        <v>116</v>
      </c>
    </row>
    <row r="2" spans="1:6" ht="13" x14ac:dyDescent="0.3">
      <c r="C2" s="13"/>
      <c r="D2" s="13"/>
      <c r="E2" s="16" t="s">
        <v>87</v>
      </c>
      <c r="F2" s="16" t="s">
        <v>88</v>
      </c>
    </row>
    <row r="3" spans="1:6" ht="21" customHeight="1" x14ac:dyDescent="0.25">
      <c r="A3" s="11" t="s">
        <v>68</v>
      </c>
      <c r="B3" s="877"/>
      <c r="C3" s="14"/>
      <c r="D3" s="14"/>
      <c r="E3" s="17">
        <v>0.9</v>
      </c>
      <c r="F3" s="17">
        <v>1.1000000000000001</v>
      </c>
    </row>
    <row r="4" spans="1:6" ht="21" hidden="1" customHeight="1" x14ac:dyDescent="0.25">
      <c r="A4" s="11" t="s">
        <v>36</v>
      </c>
      <c r="C4" s="13"/>
      <c r="D4" s="13"/>
      <c r="E4" s="17">
        <v>0.95</v>
      </c>
      <c r="F4" s="17">
        <v>1.05</v>
      </c>
    </row>
    <row r="5" spans="1:6" ht="21" customHeight="1" x14ac:dyDescent="0.25">
      <c r="A5" s="11" t="s">
        <v>36</v>
      </c>
      <c r="C5" s="13"/>
      <c r="D5" s="13"/>
      <c r="E5" s="17">
        <v>0.95</v>
      </c>
      <c r="F5" s="17">
        <v>1.05</v>
      </c>
    </row>
    <row r="6" spans="1:6" ht="21" customHeight="1" x14ac:dyDescent="0.25">
      <c r="A6" s="11" t="s">
        <v>211</v>
      </c>
      <c r="B6" s="11"/>
      <c r="C6" s="13"/>
      <c r="D6" s="13"/>
      <c r="E6" s="17">
        <v>0.9</v>
      </c>
      <c r="F6" s="17">
        <v>1.1000000000000001</v>
      </c>
    </row>
    <row r="7" spans="1:6" ht="21" customHeight="1" x14ac:dyDescent="0.25">
      <c r="A7" s="11" t="s">
        <v>163</v>
      </c>
      <c r="B7" s="11"/>
      <c r="C7" s="13"/>
      <c r="D7" s="13"/>
      <c r="E7" s="17">
        <v>0.9</v>
      </c>
      <c r="F7" s="17">
        <v>1.1000000000000001</v>
      </c>
    </row>
    <row r="8" spans="1:6" ht="21" customHeight="1" x14ac:dyDescent="0.25">
      <c r="A8" s="11" t="s">
        <v>212</v>
      </c>
      <c r="B8" s="11" t="s">
        <v>299</v>
      </c>
      <c r="C8" s="14"/>
      <c r="D8" s="14"/>
      <c r="E8" s="18">
        <v>-1.5</v>
      </c>
      <c r="F8" s="18">
        <v>0</v>
      </c>
    </row>
    <row r="9" spans="1:6" ht="21" hidden="1" customHeight="1" x14ac:dyDescent="0.25">
      <c r="A9" s="11" t="s">
        <v>106</v>
      </c>
      <c r="B9" s="11" t="s">
        <v>89</v>
      </c>
      <c r="C9" s="14"/>
      <c r="D9" s="14"/>
      <c r="E9" s="21">
        <v>-0.5</v>
      </c>
      <c r="F9" s="21">
        <v>0</v>
      </c>
    </row>
    <row r="10" spans="1:6" ht="21" hidden="1" customHeight="1" x14ac:dyDescent="0.25">
      <c r="A10" s="11" t="s">
        <v>59</v>
      </c>
      <c r="B10" s="11" t="s">
        <v>89</v>
      </c>
      <c r="C10" s="14"/>
      <c r="D10" s="14"/>
      <c r="E10" s="18"/>
      <c r="F10" s="19">
        <v>390</v>
      </c>
    </row>
    <row r="11" spans="1:6" ht="19.5" customHeight="1" x14ac:dyDescent="0.25">
      <c r="A11" s="11" t="s">
        <v>117</v>
      </c>
      <c r="B11" s="11" t="s">
        <v>278</v>
      </c>
      <c r="C11" s="14"/>
      <c r="D11" s="14"/>
      <c r="E11" s="18">
        <v>50</v>
      </c>
      <c r="F11" s="18"/>
    </row>
    <row r="12" spans="1:6" hidden="1" x14ac:dyDescent="0.25">
      <c r="A12" s="11" t="s">
        <v>7</v>
      </c>
      <c r="B12" s="11" t="s">
        <v>89</v>
      </c>
      <c r="C12" s="14"/>
      <c r="D12" s="14"/>
      <c r="E12" s="18">
        <v>200</v>
      </c>
      <c r="F12" s="18"/>
    </row>
    <row r="13" spans="1:6" ht="21" customHeight="1" x14ac:dyDescent="0.25">
      <c r="A13" s="11" t="s">
        <v>124</v>
      </c>
      <c r="B13" s="11" t="s">
        <v>299</v>
      </c>
      <c r="C13" s="14" t="s">
        <v>278</v>
      </c>
      <c r="D13" s="14"/>
      <c r="E13" s="18">
        <v>350</v>
      </c>
      <c r="F13" s="18">
        <v>400</v>
      </c>
    </row>
    <row r="14" spans="1:6" ht="21" customHeight="1" x14ac:dyDescent="0.25">
      <c r="A14" s="11" t="s">
        <v>125</v>
      </c>
      <c r="B14" s="11" t="s">
        <v>299</v>
      </c>
      <c r="C14" s="14" t="s">
        <v>278</v>
      </c>
      <c r="D14" s="14"/>
      <c r="E14" s="18">
        <v>280</v>
      </c>
      <c r="F14" s="18">
        <v>360</v>
      </c>
    </row>
    <row r="15" spans="1:6" ht="21" customHeight="1" x14ac:dyDescent="0.25">
      <c r="A15" s="11" t="s">
        <v>167</v>
      </c>
      <c r="B15" s="11" t="s">
        <v>89</v>
      </c>
      <c r="C15" s="14"/>
      <c r="D15" s="14"/>
      <c r="E15" s="18"/>
      <c r="F15" s="18">
        <v>200</v>
      </c>
    </row>
    <row r="16" spans="1:6" ht="21" customHeight="1" x14ac:dyDescent="0.25">
      <c r="A16" s="11" t="s">
        <v>143</v>
      </c>
      <c r="B16" s="11" t="s">
        <v>299</v>
      </c>
      <c r="C16" s="14" t="s">
        <v>278</v>
      </c>
      <c r="D16" s="14"/>
      <c r="E16" s="18"/>
      <c r="F16" s="18">
        <v>75</v>
      </c>
    </row>
    <row r="17" spans="1:6" ht="21" customHeight="1" x14ac:dyDescent="0.25">
      <c r="A17" s="11" t="s">
        <v>144</v>
      </c>
      <c r="B17" s="11" t="s">
        <v>299</v>
      </c>
      <c r="C17" s="14" t="s">
        <v>278</v>
      </c>
      <c r="D17" s="14"/>
      <c r="E17" s="18"/>
      <c r="F17" s="18">
        <v>40</v>
      </c>
    </row>
    <row r="18" spans="1:6" ht="26.25" customHeight="1" x14ac:dyDescent="0.25">
      <c r="A18" s="11" t="s">
        <v>142</v>
      </c>
      <c r="B18" s="11" t="s">
        <v>299</v>
      </c>
      <c r="C18" s="14" t="s">
        <v>278</v>
      </c>
      <c r="D18" s="14"/>
      <c r="E18" s="18"/>
      <c r="F18" s="18">
        <v>250</v>
      </c>
    </row>
    <row r="19" spans="1:6" ht="25.15" customHeight="1" x14ac:dyDescent="0.25">
      <c r="A19" s="11"/>
      <c r="B19" s="11"/>
      <c r="C19" s="478" t="s">
        <v>99</v>
      </c>
      <c r="D19" s="478" t="s">
        <v>10</v>
      </c>
      <c r="E19" s="18"/>
      <c r="F19" s="18"/>
    </row>
    <row r="20" spans="1:6" ht="25.15" customHeight="1" x14ac:dyDescent="0.25">
      <c r="A20" s="11" t="s">
        <v>21</v>
      </c>
      <c r="B20" s="11" t="s">
        <v>223</v>
      </c>
      <c r="C20" s="512">
        <v>2</v>
      </c>
      <c r="D20" s="512">
        <v>2.5</v>
      </c>
      <c r="E20" s="889">
        <v>0.98</v>
      </c>
      <c r="F20" s="889">
        <v>1.25</v>
      </c>
    </row>
    <row r="21" spans="1:6" ht="25.15" customHeight="1" x14ac:dyDescent="0.25">
      <c r="A21" s="11" t="s">
        <v>22</v>
      </c>
      <c r="B21" s="11" t="s">
        <v>223</v>
      </c>
      <c r="C21" s="512">
        <f>1/0.8</f>
        <v>1.25</v>
      </c>
      <c r="D21" s="512">
        <f>0.99/0.8</f>
        <v>1.2374999999999998</v>
      </c>
      <c r="E21" s="889">
        <v>1</v>
      </c>
      <c r="F21" s="889">
        <v>1.5</v>
      </c>
    </row>
    <row r="22" spans="1:6" ht="25.15" customHeight="1" x14ac:dyDescent="0.25">
      <c r="A22" s="11" t="s">
        <v>23</v>
      </c>
      <c r="B22" s="11" t="s">
        <v>223</v>
      </c>
      <c r="C22" s="512">
        <f>1/0.95</f>
        <v>1.0526315789473684</v>
      </c>
      <c r="D22" s="512">
        <f>0.37/0.95</f>
        <v>0.38947368421052631</v>
      </c>
      <c r="E22" s="889">
        <v>1</v>
      </c>
      <c r="F22" s="889">
        <v>1.25</v>
      </c>
    </row>
    <row r="23" spans="1:6" ht="25.15" customHeight="1" x14ac:dyDescent="0.25">
      <c r="A23" s="11" t="s">
        <v>24</v>
      </c>
      <c r="B23" s="11" t="s">
        <v>223</v>
      </c>
      <c r="C23" s="512">
        <f>0.2/0.2</f>
        <v>1</v>
      </c>
      <c r="D23" s="478">
        <f>0.11/0.2</f>
        <v>0.54999999999999993</v>
      </c>
      <c r="E23" s="889">
        <v>1</v>
      </c>
      <c r="F23" s="889">
        <v>1.25</v>
      </c>
    </row>
    <row r="24" spans="1:6" ht="25.15" customHeight="1" x14ac:dyDescent="0.25">
      <c r="A24" s="11" t="s">
        <v>25</v>
      </c>
      <c r="B24" s="11" t="s">
        <v>223</v>
      </c>
      <c r="C24" s="512">
        <f>10/0.95</f>
        <v>10.526315789473685</v>
      </c>
      <c r="D24" s="512">
        <f>1.58/0.95</f>
        <v>1.6631578947368422</v>
      </c>
      <c r="E24" s="889">
        <v>1</v>
      </c>
      <c r="F24" s="889">
        <v>1.5</v>
      </c>
    </row>
    <row r="25" spans="1:6" ht="25.15" customHeight="1" x14ac:dyDescent="0.25">
      <c r="A25" s="11" t="s">
        <v>90</v>
      </c>
      <c r="B25" s="11" t="s">
        <v>223</v>
      </c>
      <c r="C25" s="478">
        <v>0.2</v>
      </c>
      <c r="D25" s="478"/>
      <c r="E25" s="889">
        <v>1</v>
      </c>
      <c r="F25" s="889">
        <v>1.5</v>
      </c>
    </row>
    <row r="26" spans="1:6" ht="25.15" hidden="1" customHeight="1" x14ac:dyDescent="0.25">
      <c r="A26" s="11" t="s">
        <v>93</v>
      </c>
      <c r="B26" s="11"/>
      <c r="C26" s="478"/>
      <c r="D26" s="478" t="s">
        <v>94</v>
      </c>
      <c r="E26" s="890">
        <v>6.5</v>
      </c>
      <c r="F26" s="890">
        <v>13.5</v>
      </c>
    </row>
    <row r="27" spans="1:6" ht="25.15" customHeight="1" x14ac:dyDescent="0.25">
      <c r="A27" s="11" t="s">
        <v>104</v>
      </c>
      <c r="B27" s="11" t="s">
        <v>296</v>
      </c>
      <c r="C27" s="478"/>
      <c r="D27" s="478"/>
      <c r="E27" s="890">
        <v>200</v>
      </c>
      <c r="F27" s="890">
        <v>350</v>
      </c>
    </row>
    <row r="28" spans="1:6" ht="25.15" hidden="1" customHeight="1" x14ac:dyDescent="0.25">
      <c r="A28" s="11" t="s">
        <v>97</v>
      </c>
      <c r="B28" s="11" t="s">
        <v>98</v>
      </c>
      <c r="C28" s="478"/>
      <c r="D28" s="478"/>
      <c r="E28" s="18">
        <v>-1000</v>
      </c>
      <c r="F28" s="18">
        <v>500</v>
      </c>
    </row>
  </sheetData>
  <sheetProtection algorithmName="SHA-512" hashValue="RVX+36rj5lwKSzYOYwQEV2OjstJLr/tsPR0BA4VTTGD/58RJul7VQzFYybdB7zlZZLk1Rp+KpmQow+9sywp2Yg==" saltValue="SArO6uz/AxEiPXD+6od2/g==" spinCount="100000" sheet="1" objects="1" scenarios="1"/>
  <customSheetViews>
    <customSheetView guid="{2DEE39A3-88C5-4D7F-AEB9-0B43FD431165}" hiddenRows="1" topLeftCell="A3">
      <selection activeCell="I5" sqref="I5:I6"/>
      <pageMargins left="0.7" right="0.7" top="0.78740157499999996" bottom="0.78740157499999996" header="0.3" footer="0.3"/>
      <pageSetup paperSize="9" orientation="portrait" verticalDpi="0" r:id="rId1"/>
    </customSheetView>
    <customSheetView guid="{117F828A-4542-4D18-9CDB-B606529AAD66}" showGridLines="0" showRowCol="0">
      <selection activeCell="B8" sqref="B8"/>
      <pageMargins left="0.7" right="0.7" top="0.78740157499999996" bottom="0.78740157499999996" header="0.3" footer="0.3"/>
      <pageSetup paperSize="9" orientation="portrait" verticalDpi="0" r:id="rId2"/>
    </customSheetView>
  </customSheetViews>
  <mergeCells count="1">
    <mergeCell ref="C1:D1"/>
  </mergeCells>
  <pageMargins left="0.7" right="0.7" top="0.78740157499999996" bottom="0.78740157499999996" header="0.3" footer="0.3"/>
  <pageSetup paperSize="9" orientation="portrait" verticalDpi="0"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
  <sheetViews>
    <sheetView workbookViewId="0"/>
  </sheetViews>
  <sheetFormatPr baseColWidth="10" defaultRowHeight="12.5" x14ac:dyDescent="0.25"/>
  <sheetData/>
  <customSheetViews>
    <customSheetView guid="{2DEE39A3-88C5-4D7F-AEB9-0B43FD431165}" state="veryHidden">
      <pageMargins left="0.7" right="0.7" top="0.78740157499999996" bottom="0.78740157499999996" header="0.3" footer="0.3"/>
    </customSheetView>
    <customSheetView guid="{117F828A-4542-4D18-9CDB-B606529AAD66}" state="veryHidden">
      <pageMargins left="0.7" right="0.7" top="0.78740157499999996" bottom="0.78740157499999996" header="0.3" footer="0.3"/>
    </customSheetView>
  </customSheetViews>
  <phoneticPr fontId="0" type="noConversion"/>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100</vt:i4>
      </vt:variant>
    </vt:vector>
  </HeadingPairs>
  <TitlesOfParts>
    <vt:vector size="106" baseType="lpstr">
      <vt:lpstr> </vt:lpstr>
      <vt:lpstr> Anleitung</vt:lpstr>
      <vt:lpstr>Futterwerte</vt:lpstr>
      <vt:lpstr>Ration Milch</vt:lpstr>
      <vt:lpstr>Ration Milch-Mineralstoffe</vt:lpstr>
      <vt:lpstr>Einstellungen</vt:lpstr>
      <vt:lpstr>' Anleitung'!_Hlk213942594</vt:lpstr>
      <vt:lpstr>ADFmin</vt:lpstr>
      <vt:lpstr>aNDFomGF</vt:lpstr>
      <vt:lpstr>aNDFomGF_min</vt:lpstr>
      <vt:lpstr>Art</vt:lpstr>
      <vt:lpstr>Camax</vt:lpstr>
      <vt:lpstr>Camin</vt:lpstr>
      <vt:lpstr>DCAB_lakt_max</vt:lpstr>
      <vt:lpstr>DCAB_lakt_min</vt:lpstr>
      <vt:lpstr>Futterwerte!Druckbereich</vt:lpstr>
      <vt:lpstr>'Ration Milch'!Druckbereich</vt:lpstr>
      <vt:lpstr>'Ration Milch-Mineralstoffe'!Druckbereich</vt:lpstr>
      <vt:lpstr>Futterwerte!Drucktitel</vt:lpstr>
      <vt:lpstr>'Ration Milch'!Drucktitel</vt:lpstr>
      <vt:lpstr>E_vH</vt:lpstr>
      <vt:lpstr>ECM</vt:lpstr>
      <vt:lpstr>'Ration Milch-Mineralstoffe'!EM</vt:lpstr>
      <vt:lpstr>EM</vt:lpstr>
      <vt:lpstr>F_vH</vt:lpstr>
      <vt:lpstr>'Ration Milch-Mineralstoffe'!FS</vt:lpstr>
      <vt:lpstr>FS</vt:lpstr>
      <vt:lpstr>GF_NEL</vt:lpstr>
      <vt:lpstr>GR_ADF</vt:lpstr>
      <vt:lpstr>GR_aNDFomGF</vt:lpstr>
      <vt:lpstr>GR_Ca</vt:lpstr>
      <vt:lpstr>GR_K</vt:lpstr>
      <vt:lpstr>GR_Mg</vt:lpstr>
      <vt:lpstr>GR_Na</vt:lpstr>
      <vt:lpstr>GR_NDF</vt:lpstr>
      <vt:lpstr>GR_NEL</vt:lpstr>
      <vt:lpstr>GR_NFC</vt:lpstr>
      <vt:lpstr>GR_nXP</vt:lpstr>
      <vt:lpstr>GR_P</vt:lpstr>
      <vt:lpstr>GR_pabXS_XZ</vt:lpstr>
      <vt:lpstr>GR_RNB</vt:lpstr>
      <vt:lpstr>GR_Se</vt:lpstr>
      <vt:lpstr>GR_SW</vt:lpstr>
      <vt:lpstr>GR_XL</vt:lpstr>
      <vt:lpstr>GR_XS</vt:lpstr>
      <vt:lpstr>GR_XZ</vt:lpstr>
      <vt:lpstr>ITmax</vt:lpstr>
      <vt:lpstr>ITmin</vt:lpstr>
      <vt:lpstr>'Ration Milch-Mineralstoffe'!Kalbung</vt:lpstr>
      <vt:lpstr>Kmax</vt:lpstr>
      <vt:lpstr>Kmin</vt:lpstr>
      <vt:lpstr>'Ration Milch-Mineralstoffe'!LakNr</vt:lpstr>
      <vt:lpstr>LakNr</vt:lpstr>
      <vt:lpstr>LaktTag</vt:lpstr>
      <vt:lpstr>'Ration Milch-Mineralstoffe'!LG</vt:lpstr>
      <vt:lpstr>LG</vt:lpstr>
      <vt:lpstr>M_kg</vt:lpstr>
      <vt:lpstr>Memax</vt:lpstr>
      <vt:lpstr>MEmin</vt:lpstr>
      <vt:lpstr>Mgmax</vt:lpstr>
      <vt:lpstr>Mgmin</vt:lpstr>
      <vt:lpstr>MJ_GF</vt:lpstr>
      <vt:lpstr>NaKmax</vt:lpstr>
      <vt:lpstr>NaKmin</vt:lpstr>
      <vt:lpstr>Namax</vt:lpstr>
      <vt:lpstr>Namin</vt:lpstr>
      <vt:lpstr>NDFmin</vt:lpstr>
      <vt:lpstr>NEL</vt:lpstr>
      <vt:lpstr>NEL_kg</vt:lpstr>
      <vt:lpstr>NELmax</vt:lpstr>
      <vt:lpstr>NELmin</vt:lpstr>
      <vt:lpstr>NFCmax</vt:lpstr>
      <vt:lpstr>nXP</vt:lpstr>
      <vt:lpstr>nXPmax</vt:lpstr>
      <vt:lpstr>nXPmin</vt:lpstr>
      <vt:lpstr>pab_max</vt:lpstr>
      <vt:lpstr>pabXS_XZ</vt:lpstr>
      <vt:lpstr>Pmax</vt:lpstr>
      <vt:lpstr>Pmin</vt:lpstr>
      <vt:lpstr>Rasse</vt:lpstr>
      <vt:lpstr>RNB_t_max</vt:lpstr>
      <vt:lpstr>RNB_t_min</vt:lpstr>
      <vt:lpstr>RNBmax</vt:lpstr>
      <vt:lpstr>RNBmin</vt:lpstr>
      <vt:lpstr>Semax</vt:lpstr>
      <vt:lpstr>Semin</vt:lpstr>
      <vt:lpstr>SI</vt:lpstr>
      <vt:lpstr>SImin</vt:lpstr>
      <vt:lpstr>SWmin</vt:lpstr>
      <vt:lpstr>sXFmin</vt:lpstr>
      <vt:lpstr>Tabelle</vt:lpstr>
      <vt:lpstr>Tabelle_1</vt:lpstr>
      <vt:lpstr>Tabelle_Kopf</vt:lpstr>
      <vt:lpstr>Tiere</vt:lpstr>
      <vt:lpstr>TM_FM</vt:lpstr>
      <vt:lpstr>TM_GF</vt:lpstr>
      <vt:lpstr>TM_Grundration</vt:lpstr>
      <vt:lpstr>TMR</vt:lpstr>
      <vt:lpstr>'Ration Milch-Mineralstoffe'!TS</vt:lpstr>
      <vt:lpstr>TS</vt:lpstr>
      <vt:lpstr>XFmin</vt:lpstr>
      <vt:lpstr>XLmax</vt:lpstr>
      <vt:lpstr>XPmax</vt:lpstr>
      <vt:lpstr>XPmin</vt:lpstr>
      <vt:lpstr>XSmax</vt:lpstr>
      <vt:lpstr>XZmax</vt:lpstr>
    </vt:vector>
  </TitlesOfParts>
  <Company>EBZI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Sekul, Wolfgang (LAZBW)</dc:creator>
  <cp:lastModifiedBy>Meßmer, Levi (LAZBW)</cp:lastModifiedBy>
  <cp:lastPrinted>2026-05-21T09:32:13Z</cp:lastPrinted>
  <dcterms:created xsi:type="dcterms:W3CDTF">2000-02-24T07:56:29Z</dcterms:created>
  <dcterms:modified xsi:type="dcterms:W3CDTF">2026-07-01T05:22:20Z</dcterms:modified>
</cp:coreProperties>
</file>